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520" tabRatio="802" activeTab="6"/>
  </bookViews>
  <sheets>
    <sheet name="1. Coleta Domiciliar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 Dimensionamento" sheetId="7" r:id="rId7"/>
  </sheets>
  <definedNames>
    <definedName name="_xlfn.IFERROR" hidden="1">#NAME?</definedName>
    <definedName name="AbaDeprec">'5. Depreciação'!$A$1</definedName>
    <definedName name="AbaRemun">'6.Remuneração de capital'!$A$1</definedName>
    <definedName name="_xlnm.Print_Area" localSheetId="0">'1. Coleta Domiciliar'!$A$1:$F$278</definedName>
    <definedName name="_xlnm.Print_Area" localSheetId="1">'2.Encargos Sociais'!$A$1:$C$36</definedName>
    <definedName name="_xlnm.Print_Titles" localSheetId="0">'1. Coleta Domiciliar'!$1:$1</definedName>
  </definedNames>
  <calcPr fullCalcOnLoad="1"/>
</workbook>
</file>

<file path=xl/comments1.xml><?xml version="1.0" encoding="utf-8"?>
<comments xmlns="http://schemas.openxmlformats.org/spreadsheetml/2006/main">
  <authors>
    <author>Clauber Bridi</author>
  </authors>
  <commentList>
    <comment ref="D49" author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74" authorId="0">
      <text>
        <r>
          <rPr>
            <sz val="9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54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52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66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78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97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C98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105" authorId="0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C200" authorId="0">
      <text>
        <r>
          <rPr>
            <sz val="9"/>
            <rFont val="Tahoma"/>
            <family val="2"/>
          </rPr>
          <t>Informar o consumo estimado do veículo em km/l</t>
        </r>
      </text>
    </comment>
    <comment ref="C202" authorId="0">
      <text>
        <r>
          <rPr>
            <sz val="9"/>
            <rFont val="Tahoma"/>
            <family val="2"/>
          </rPr>
          <t>Informar o consumo de óleo do motor a cada 1000km</t>
        </r>
      </text>
    </comment>
    <comment ref="C204" authorId="0">
      <text>
        <r>
          <rPr>
            <sz val="9"/>
            <rFont val="Tahoma"/>
            <family val="2"/>
          </rPr>
          <t>Informar o consumo de óleo da transmissão a cada 1000km</t>
        </r>
      </text>
    </comment>
    <comment ref="C206" authorId="0">
      <text>
        <r>
          <rPr>
            <sz val="9"/>
            <rFont val="Tahoma"/>
            <family val="2"/>
          </rPr>
          <t>Informar o consumo de óleo hidráulico a cada 1000km</t>
        </r>
      </text>
    </comment>
    <comment ref="C208" authorId="0">
      <text>
        <r>
          <rPr>
            <sz val="9"/>
            <rFont val="Tahoma"/>
            <family val="2"/>
          </rPr>
          <t>Informar o consumo de graxa a cada 1000km</t>
        </r>
      </text>
    </comment>
    <comment ref="C220" authorId="0">
      <text>
        <r>
          <rPr>
            <sz val="9"/>
            <rFont val="Tahoma"/>
            <family val="2"/>
          </rPr>
          <t>Informar a quantidade de pneus novos de 1 caminhão</t>
        </r>
      </text>
    </comment>
    <comment ref="C60" author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D71" author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85" author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C92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99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100" authorId="0">
      <text>
        <r>
          <rPr>
            <sz val="9"/>
            <rFont val="Tahoma"/>
            <family val="2"/>
          </rPr>
          <t xml:space="preserve">Valor Unitário considerando o desconto legal de até 6% do salário
</t>
        </r>
      </text>
    </comment>
    <comment ref="D111" authorId="0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06" authorId="0">
      <text>
        <r>
          <rPr>
            <sz val="9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2" authorId="0">
      <text>
        <r>
          <rPr>
            <sz val="9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57" authorId="0">
      <text>
        <r>
          <rPr>
            <sz val="9"/>
            <rFont val="Tahoma"/>
            <family val="2"/>
          </rPr>
          <t>Informar o preço unitário do chassis do caminhão de coleta</t>
        </r>
      </text>
    </comment>
    <comment ref="C158" authorId="0">
      <text>
        <r>
          <rPr>
            <sz val="9"/>
            <rFont val="Tahoma"/>
            <family val="2"/>
          </rPr>
          <t>Informar a vida útil estimada para o caminhão, em anos</t>
        </r>
      </text>
    </comment>
    <comment ref="C163" authorId="0">
      <text>
        <r>
          <rPr>
            <sz val="9"/>
            <rFont val="Tahoma"/>
            <family val="2"/>
          </rPr>
          <t>Informar a vida útil estimada para o compactador, em anos</t>
        </r>
      </text>
    </comment>
    <comment ref="C160" authorId="0">
      <text>
        <r>
          <rPr>
            <b/>
            <sz val="9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family val="2"/>
          </rPr>
          <t xml:space="preserve">
</t>
        </r>
      </text>
    </comment>
    <comment ref="D162" authorId="0">
      <text>
        <r>
          <rPr>
            <sz val="9"/>
            <rFont val="Tahoma"/>
            <family val="2"/>
          </rPr>
          <t xml:space="preserve">Informar o preço unitário do equipamento compactador
</t>
        </r>
      </text>
    </comment>
    <comment ref="C165" authorId="0">
      <text>
        <r>
          <rPr>
            <b/>
            <sz val="9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rFont val="Tahoma"/>
            <family val="2"/>
          </rPr>
          <t xml:space="preserve">
</t>
        </r>
      </text>
    </comment>
    <comment ref="C174" authorId="0">
      <text>
        <r>
          <rPr>
            <b/>
            <sz val="9"/>
            <rFont val="Tahoma"/>
            <family val="2"/>
          </rPr>
          <t>Informar a taxa de juros anual para remuneração do capital. Recomenda-se o uso da Taxa SELIC</t>
        </r>
        <r>
          <rPr>
            <sz val="9"/>
            <rFont val="Tahoma"/>
            <family val="2"/>
          </rPr>
          <t xml:space="preserve">
</t>
        </r>
      </text>
    </comment>
    <comment ref="D190" authorId="0">
      <text>
        <r>
          <rPr>
            <sz val="9"/>
            <rFont val="Tahoma"/>
            <family val="2"/>
          </rPr>
          <t xml:space="preserve">Informar o valor do seguro obrigatório e licenciamento anual de um caminhão
</t>
        </r>
      </text>
    </comment>
    <comment ref="D191" authorId="0">
      <text>
        <r>
          <rPr>
            <sz val="9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D200" authorId="0">
      <text>
        <r>
          <rPr>
            <sz val="9"/>
            <rFont val="Tahoma"/>
            <family val="2"/>
          </rPr>
          <t xml:space="preserve">Informar o preço unitário do combustivel
</t>
        </r>
      </text>
    </comment>
    <comment ref="D202" authorId="0">
      <text>
        <r>
          <rPr>
            <sz val="9"/>
            <rFont val="Tahoma"/>
            <family val="2"/>
          </rPr>
          <t xml:space="preserve">Informar o preço unitário do litro do óleo do motor
</t>
        </r>
      </text>
    </comment>
    <comment ref="D204" authorId="0">
      <text>
        <r>
          <rPr>
            <sz val="9"/>
            <rFont val="Tahoma"/>
            <family val="2"/>
          </rPr>
          <t xml:space="preserve">Informar o preço unitário do litro do óleo da transmissão
</t>
        </r>
      </text>
    </comment>
    <comment ref="D206" authorId="0">
      <text>
        <r>
          <rPr>
            <sz val="9"/>
            <rFont val="Tahoma"/>
            <family val="2"/>
          </rPr>
          <t xml:space="preserve">Informar o preço unitário do litro do óleo hidráulico
</t>
        </r>
      </text>
    </comment>
    <comment ref="D208" authorId="0">
      <text>
        <r>
          <rPr>
            <sz val="9"/>
            <rFont val="Tahoma"/>
            <family val="2"/>
          </rPr>
          <t xml:space="preserve">Informar o preço unitário do litro da graxa
</t>
        </r>
      </text>
    </comment>
    <comment ref="D215" authorId="0">
      <text>
        <r>
          <rPr>
            <sz val="9"/>
            <rFont val="Tahoma"/>
            <family val="2"/>
          </rPr>
          <t xml:space="preserve">Informar o custo de manutenção em R$/km rodado
</t>
        </r>
      </text>
    </comment>
    <comment ref="D220" authorId="0">
      <text>
        <r>
          <rPr>
            <sz val="9"/>
            <rFont val="Tahoma"/>
            <family val="2"/>
          </rPr>
          <t xml:space="preserve">Informar o preço unitário de cada pneu
</t>
        </r>
      </text>
    </comment>
    <comment ref="B197" authorId="0">
      <text>
        <r>
          <rPr>
            <sz val="9"/>
            <rFont val="Tahoma"/>
            <family val="2"/>
          </rPr>
          <t xml:space="preserve">Informar a quilometragem mensal percorrida, de acordo com o projeto básico
</t>
        </r>
      </text>
    </comment>
    <comment ref="C221" authorId="0">
      <text>
        <r>
          <rPr>
            <sz val="9"/>
            <rFont val="Tahoma"/>
            <family val="2"/>
          </rPr>
          <t>Informar o número de recapagens por pneu</t>
        </r>
      </text>
    </comment>
    <comment ref="C223" authorId="0">
      <text>
        <r>
          <rPr>
            <sz val="9"/>
            <rFont val="Tahoma"/>
            <family val="2"/>
          </rPr>
          <t xml:space="preserve">Informar a durabilidade média dos pneus considerando todas as recapagens, em km
</t>
        </r>
      </text>
    </comment>
    <comment ref="D222" authorId="0">
      <text>
        <r>
          <rPr>
            <sz val="9"/>
            <rFont val="Tahoma"/>
            <family val="2"/>
          </rPr>
          <t xml:space="preserve">Informar o preço unitário de cada recapagem
</t>
        </r>
      </text>
    </comment>
    <comment ref="A6" authorId="0">
      <text>
        <r>
          <rPr>
            <sz val="9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rFont val="Tahoma"/>
            <family val="2"/>
          </rPr>
          <t xml:space="preserve">
</t>
        </r>
      </text>
    </comment>
    <comment ref="A242" authorId="0">
      <text>
        <r>
          <rPr>
            <b/>
            <sz val="9"/>
            <rFont val="Tahoma"/>
            <family val="2"/>
          </rPr>
          <t>Especificar somente quando for exigido no Projeto Básico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  <comment ref="C258" authorId="0">
      <text>
        <r>
          <rPr>
            <sz val="9"/>
            <rFont val="Tahoma"/>
            <family val="2"/>
          </rPr>
          <t>Preencher a aba 4.BDI</t>
        </r>
      </text>
    </comment>
    <comment ref="D72" authorId="0">
      <text>
        <r>
          <rPr>
            <sz val="9"/>
            <rFont val="Tahoma"/>
            <family val="2"/>
          </rPr>
          <t>Informar o valor do salário Mínimo Nacional</t>
        </r>
      </text>
    </comment>
    <comment ref="C73" author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7" author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22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22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3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4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5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6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7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8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29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30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31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32" authorId="0">
      <text>
        <r>
          <rPr>
            <sz val="9"/>
            <rFont val="Tahoma"/>
            <family val="2"/>
          </rPr>
          <t>Informar o valor mensal de higienização de uniforme para 1 funcionário</t>
        </r>
      </text>
    </comment>
    <comment ref="D145" authorId="0">
      <text>
        <r>
          <rPr>
            <sz val="9"/>
            <rFont val="Tahoma"/>
            <family val="2"/>
          </rPr>
          <t>Informar o valor mensal de higienização de uniforme para 1 funcionário</t>
        </r>
      </text>
    </comment>
    <comment ref="C159" authorId="0">
      <text>
        <r>
          <rPr>
            <sz val="9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64" authorId="0">
      <text>
        <r>
          <rPr>
            <sz val="9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D245" authorId="0">
      <text>
        <r>
          <rPr>
            <sz val="9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47" authorId="0">
      <text>
        <r>
          <rPr>
            <sz val="9"/>
            <rFont val="Tahoma"/>
            <family val="2"/>
          </rPr>
          <t>Informar o valor unitário mensal para manutenção dos equipamentos de monitoramento</t>
        </r>
      </text>
    </comment>
    <comment ref="C233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3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34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C235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C236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C237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4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D235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D236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D237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123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4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5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6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7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8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29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0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1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39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0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1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2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3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44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rFont val="Tahoma"/>
            <family val="2"/>
          </rPr>
          <t>Informar a quantidade de caminhões compactadores do respectivo modelo</t>
        </r>
      </text>
    </comment>
    <comment ref="C64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76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90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B42" authorId="0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E9" authorId="0">
      <text>
        <r>
          <rPr>
            <b/>
            <sz val="9"/>
            <rFont val="Tahoma"/>
            <family val="2"/>
          </rPr>
          <t>Informar o valor anual da taxa financeira, em percentual. Admite-se utilizar a SELIC</t>
        </r>
      </text>
    </comment>
    <comment ref="E10" authorId="0">
      <text>
        <r>
          <rPr>
            <b/>
            <sz val="9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Informar o % de Administração Central estimado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Informar o % de Seguros, Riscos e Garantia estimado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Informar o % de Lucro estimado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Informar o valor estimado de PIS/COFINS. </t>
        </r>
        <r>
          <rPr>
            <sz val="9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7.xml><?xml version="1.0" encoding="utf-8"?>
<comments xmlns="http://schemas.openxmlformats.org/spreadsheetml/2006/main">
  <authors>
    <author>cbridi</author>
    <author>Clauber Bridi</author>
    <author>Omar</author>
  </authors>
  <commentList>
    <comment ref="C10" authorId="0">
      <text>
        <r>
          <rPr>
            <sz val="8"/>
            <rFont val="Tahoma"/>
            <family val="2"/>
          </rPr>
          <t>Informar a população do município a ser atendida</t>
        </r>
      </text>
    </comment>
    <comment ref="C11" authorId="1">
      <text>
        <r>
          <rPr>
            <b/>
            <sz val="9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2" authorId="2">
      <text>
        <r>
          <rPr>
            <sz val="9"/>
            <rFont val="Tahoma"/>
            <family val="2"/>
          </rPr>
          <t>retorna a geração diária a ser recolhida</t>
        </r>
      </text>
    </comment>
    <comment ref="C17" authorId="0">
      <text>
        <r>
          <rPr>
            <sz val="8"/>
            <rFont val="Tahoma"/>
            <family val="2"/>
          </rPr>
          <t>Informar 1 para caminhão toco; Informar 2 para caminhão truck</t>
        </r>
        <r>
          <rPr>
            <b/>
            <sz val="8"/>
            <rFont val="Tahoma"/>
            <family val="2"/>
          </rPr>
          <t xml:space="preserve"> </t>
        </r>
      </text>
    </comment>
    <comment ref="C18" authorId="0">
      <text>
        <r>
          <rPr>
            <sz val="8"/>
            <rFont val="Tahoma"/>
            <family val="2"/>
          </rPr>
          <t>Informar a capacidade do compactador em m³</t>
        </r>
      </text>
    </comment>
    <comment ref="C14" authorId="0">
      <text>
        <r>
          <rPr>
            <b/>
            <sz val="8"/>
            <rFont val="Tahoma"/>
            <family val="2"/>
          </rPr>
          <t>Informe o número de dias de coleta por semana</t>
        </r>
      </text>
    </comment>
    <comment ref="C21" authorId="1">
      <text>
        <r>
          <rPr>
            <sz val="8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<sst xmlns="http://schemas.openxmlformats.org/spreadsheetml/2006/main" count="539" uniqueCount="305">
  <si>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</si>
  <si>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</si>
  <si>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</si>
  <si>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</si>
  <si>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</si>
  <si>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</si>
  <si>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</si>
  <si>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</si>
  <si>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</si>
  <si>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</si>
  <si>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</si>
  <si>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</si>
  <si>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</si>
  <si>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</si>
  <si>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</si>
  <si>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</si>
  <si>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</si>
  <si>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</si>
  <si>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</si>
  <si>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</si>
  <si>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</si>
  <si>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</si>
  <si>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</si>
  <si>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</si>
  <si>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</si>
  <si>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</si>
  <si>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</si>
  <si>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</si>
  <si>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</si>
  <si>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</si>
  <si>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</si>
  <si>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</si>
  <si>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</si>
  <si>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</si>
  <si>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</si>
  <si>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</si>
  <si>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</si>
  <si>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</si>
  <si>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</si>
  <si>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</si>
  <si>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</si>
  <si>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</si>
  <si>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</si>
  <si>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</si>
  <si>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</si>
  <si>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</si>
  <si>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</si>
  <si>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</si>
  <si>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</si>
  <si>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</si>
  <si>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</si>
  <si>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</si>
  <si>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</si>
  <si>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</si>
  <si>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</si>
  <si>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</si>
  <si>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</si>
  <si>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</si>
  <si>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</si>
  <si>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</si>
  <si>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</si>
  <si>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</si>
  <si>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</si>
  <si>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</si>
  <si>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</si>
  <si>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</si>
  <si>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</si>
  <si>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</si>
  <si>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</si>
  <si>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</si>
  <si>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</si>
  <si>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</si>
  <si>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</si>
  <si>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</si>
  <si>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</si>
  <si>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</si>
  <si>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</si>
  <si>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</si>
  <si>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</si>
  <si>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</si>
  <si>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</si>
  <si>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</si>
  <si>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</si>
  <si>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</si>
  <si>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</si>
  <si>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</si>
  <si>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</si>
  <si>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</si>
  <si>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</si>
  <si>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</si>
  <si>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</si>
  <si>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</si>
  <si>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</si>
  <si>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</si>
  <si>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</si>
  <si>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</si>
  <si>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</si>
  <si>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</si>
  <si>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</si>
  <si>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</si>
  <si>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</si>
  <si>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</si>
  <si>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</si>
  <si>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</si>
  <si>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</si>
  <si>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</si>
  <si>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</si>
  <si>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</si>
  <si>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</si>
  <si>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</si>
  <si>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</si>
  <si>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</si>
  <si>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</si>
  <si>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</si>
  <si>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</si>
  <si>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</si>
  <si>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</si>
  <si>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</si>
  <si>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</si>
  <si>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</si>
  <si>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</si>
  <si>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</si>
  <si>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</si>
  <si>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</si>
  <si>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</si>
  <si>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</si>
  <si>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</si>
  <si>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</si>
  <si>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</si>
  <si>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</si>
  <si>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</si>
  <si>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</si>
  <si>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</si>
  <si>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</si>
  <si>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</si>
  <si>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</si>
  <si>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</si>
  <si>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</si>
  <si>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</si>
  <si>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</si>
  <si>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</si>
  <si>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</si>
  <si>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</si>
  <si>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</si>
  <si>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</si>
  <si>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</si>
  <si>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</si>
  <si>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</si>
  <si>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</si>
  <si>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</si>
  <si>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</si>
  <si>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</si>
  <si>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</si>
  <si>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</si>
  <si>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</si>
  <si>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</si>
  <si>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</si>
  <si>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</si>
  <si>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</si>
  <si>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</si>
  <si>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</si>
  <si>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</si>
  <si>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</si>
  <si>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</si>
  <si>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</si>
  <si>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</si>
  <si>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</si>
  <si>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</si>
  <si>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</si>
  <si>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</si>
  <si>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</si>
  <si>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</si>
  <si>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</si>
  <si>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</si>
  <si>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</si>
  <si>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</si>
  <si>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</si>
  <si>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</si>
  <si>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</si>
  <si>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</si>
  <si>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</si>
  <si>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</si>
  <si>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</si>
  <si>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</si>
  <si>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</si>
  <si>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</si>
  <si>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</si>
  <si>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</si>
  <si>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</si>
  <si>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</si>
  <si>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</si>
  <si>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</si>
  <si>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</si>
  <si>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</si>
  <si>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</si>
  <si>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</si>
  <si>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</si>
  <si>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</si>
  <si>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</si>
  <si>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</si>
  <si>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</si>
  <si>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</si>
  <si>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</si>
  <si>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</si>
  <si>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</si>
  <si>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</si>
  <si>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</si>
  <si>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</si>
  <si>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</si>
  <si>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</si>
  <si>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</si>
  <si>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</si>
  <si>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</si>
  <si>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</si>
  <si>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</si>
  <si>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</si>
  <si>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</si>
  <si>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</si>
  <si>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</si>
  <si>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</si>
  <si>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</si>
  <si>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</si>
  <si>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</si>
  <si>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</si>
  <si>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</si>
  <si>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</si>
  <si>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</si>
  <si>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</si>
  <si>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</si>
  <si>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</si>
  <si>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</si>
  <si>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</si>
  <si>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</si>
  <si>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</si>
  <si>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</si>
  <si>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</si>
  <si>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</si>
  <si>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</si>
  <si>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</si>
  <si>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</si>
  <si>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</si>
  <si>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</si>
  <si>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</si>
  <si>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</si>
  <si>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</si>
  <si>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</si>
  <si>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</si>
  <si>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</si>
  <si>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</si>
  <si>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</si>
  <si>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</si>
  <si>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</si>
  <si>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</si>
  <si>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</si>
  <si>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</si>
  <si>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</si>
  <si>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</si>
  <si>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</si>
  <si>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</si>
  <si>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</si>
  <si>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</si>
  <si>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</si>
  <si>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</si>
  <si>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</si>
  <si>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</si>
  <si>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</si>
  <si>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</si>
  <si>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</si>
  <si>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</si>
  <si>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</si>
  <si>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</si>
  <si>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</si>
  <si>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</si>
  <si>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</si>
  <si>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</si>
  <si>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</si>
  <si>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</si>
  <si>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</si>
  <si>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</si>
  <si>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</si>
  <si>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</si>
  <si>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</si>
  <si>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</si>
  <si>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</si>
  <si>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</si>
  <si>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</si>
  <si>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</si>
  <si>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</si>
  <si>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Ajustado, de acordo com a nova Lei Federal nº 13.932/2019</t>
  </si>
  <si>
    <t>PREÇO POR KM RODADO</t>
  </si>
  <si>
    <r>
      <t>3.1. Veículo Coletor Compactador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15 m³</t>
    </r>
  </si>
  <si>
    <t>1) O valor do salário mensal é o definido pelo básico da categoria, conforme Convenções Coletivas dos respectivos sindicatos;</t>
  </si>
  <si>
    <t>4) A composição de encargos sociais segue os modelos do Tribunal de Contas do Estado do RS.</t>
  </si>
  <si>
    <t>2) Alimentação e refeição não foram cotadas, caso as empresas concedem deve ser preenchido o respectivo campo na planilha, bem como as obrigações trabalhistas dos coletores e motoristas foram determinadas de acordo com as disposições das Convenções Coletivas vigentes;</t>
  </si>
  <si>
    <t>5) O veículo que está sendo considerado para referência é veículo zero quilômetro. O valor considerado para o caminhão foi obtido na tabela FIPE, para o veículo caminhao ''toco'' VW 17230. O valor do coletor é a média do valor praticado por empresas do ramo.</t>
  </si>
  <si>
    <t xml:space="preserve">7) Os valores considerados para itens de consumo e rodagem, inclusive o preço do óleo diesel comum é o praticado pelo Município </t>
  </si>
  <si>
    <t>8) Para o cálculo do BDI observar as referências mínimas e máximas constantes na "aba 4.BDI" da planilha de custos.</t>
  </si>
  <si>
    <t>Custo do jogo de pneus 275/80 R22.5</t>
  </si>
  <si>
    <t xml:space="preserve">6) O veículo e o compactador que realizará os serviços deverá ter capacidade mínima de 15 m3, com no máximo 10 (dez) anos de fabricação. </t>
  </si>
  <si>
    <t>9) As alíquotas utilizadas para ISS, PIS e COFINS, na planilha base, correspondem a uma empresa com tributação pelo lucro presumido. Cada licitante deverá utilizar as alíquotas de acordo com sua tributação.</t>
  </si>
  <si>
    <t>3) Para os coletores foi observada a Convenção Coletiva 2021/2021 do SINDIASSEIO - Sindicato dos Trabalhadores em Serviços de Asseio, Conservação, Limpeza, Zeladoria, Serviços e Jardinagens de Santa Cruz do Sul e Região e para o motorista foi observado o Aditamento CCT 2020, Sindicato das empresas de Transportes de Carga e Logística no Estado do Rio Grande do Sul – SETCERGS e Sindicato dos Empregados em Transporte Rodoviário de Carga Seca do Rio Grande do Sul – SINECARGA – firmado em 25 de Setembro de 2020.</t>
  </si>
  <si>
    <t>Fator de utilização (FU) Motorista</t>
  </si>
  <si>
    <t>Fator de Utilização (FU) Coletor</t>
  </si>
  <si>
    <t xml:space="preserve">Em referência aos indicadores optou-se por usar o números sugeridos pelo TCE/RS referente ao ano de 2019, pois não localizamos todos os dados da tabela no NOVO CAGED, sendo que se for lançado somente os dados disponíveis ira distorcer os encargos sociais. </t>
  </si>
  <si>
    <t>Quilometragem mensal</t>
  </si>
</sst>
</file>

<file path=xl/styles.xml><?xml version="1.0" encoding="utf-8"?>
<styleSheet xmlns="http://schemas.openxmlformats.org/spreadsheetml/2006/main">
  <numFmts count="2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  <numFmt numFmtId="174" formatCode="_(* #,##0.0000_);_(* \(#,##0.00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"/>
    <numFmt numFmtId="180" formatCode="#,##0.000"/>
    <numFmt numFmtId="181" formatCode="#,##0.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6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6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6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6" fontId="0" fillId="0" borderId="11" xfId="6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6" fontId="0" fillId="0" borderId="10" xfId="6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61" applyFont="1" applyAlignment="1">
      <alignment horizontal="center" vertical="center"/>
    </xf>
    <xf numFmtId="166" fontId="3" fillId="33" borderId="12" xfId="61" applyFont="1" applyFill="1" applyBorder="1" applyAlignment="1">
      <alignment horizontal="center" vertical="center"/>
    </xf>
    <xf numFmtId="166" fontId="3" fillId="33" borderId="12" xfId="61" applyFont="1" applyFill="1" applyBorder="1" applyAlignment="1">
      <alignment vertical="center"/>
    </xf>
    <xf numFmtId="166" fontId="3" fillId="0" borderId="0" xfId="6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3" fillId="0" borderId="14" xfId="61" applyFont="1" applyBorder="1" applyAlignment="1">
      <alignment vertical="center"/>
    </xf>
    <xf numFmtId="166" fontId="3" fillId="0" borderId="15" xfId="6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6" fontId="0" fillId="0" borderId="14" xfId="61" applyFont="1" applyBorder="1" applyAlignment="1">
      <alignment vertical="center"/>
    </xf>
    <xf numFmtId="166" fontId="0" fillId="0" borderId="15" xfId="61" applyFont="1" applyBorder="1" applyAlignment="1">
      <alignment vertical="center"/>
    </xf>
    <xf numFmtId="166" fontId="3" fillId="0" borderId="0" xfId="6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6" fontId="3" fillId="0" borderId="0" xfId="6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61" applyFont="1" applyBorder="1" applyAlignment="1">
      <alignment vertical="center"/>
    </xf>
    <xf numFmtId="166" fontId="5" fillId="0" borderId="0" xfId="61" applyFont="1" applyAlignment="1">
      <alignment vertical="center"/>
    </xf>
    <xf numFmtId="167" fontId="0" fillId="0" borderId="10" xfId="61" applyNumberFormat="1" applyFont="1" applyBorder="1" applyAlignment="1">
      <alignment vertical="center"/>
    </xf>
    <xf numFmtId="166" fontId="0" fillId="0" borderId="0" xfId="61" applyFont="1" applyAlignment="1">
      <alignment/>
    </xf>
    <xf numFmtId="166" fontId="4" fillId="0" borderId="0" xfId="61" applyFont="1" applyAlignment="1">
      <alignment vertical="center"/>
    </xf>
    <xf numFmtId="166" fontId="0" fillId="0" borderId="16" xfId="61" applyFont="1" applyBorder="1" applyAlignment="1">
      <alignment vertical="center"/>
    </xf>
    <xf numFmtId="166" fontId="3" fillId="0" borderId="17" xfId="61" applyFont="1" applyBorder="1" applyAlignment="1">
      <alignment horizontal="center" vertical="center"/>
    </xf>
    <xf numFmtId="166" fontId="3" fillId="0" borderId="13" xfId="6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Continuous" vertical="center"/>
    </xf>
    <xf numFmtId="166" fontId="3" fillId="0" borderId="0" xfId="61" applyFont="1" applyAlignment="1">
      <alignment vertical="center"/>
    </xf>
    <xf numFmtId="166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centerContinuous" vertical="center"/>
    </xf>
    <xf numFmtId="166" fontId="0" fillId="0" borderId="18" xfId="61" applyFont="1" applyBorder="1" applyAlignment="1">
      <alignment vertical="center"/>
    </xf>
    <xf numFmtId="166" fontId="3" fillId="0" borderId="19" xfId="61" applyFont="1" applyBorder="1" applyAlignment="1">
      <alignment horizontal="right" vertical="center"/>
    </xf>
    <xf numFmtId="166" fontId="0" fillId="0" borderId="20" xfId="61" applyFont="1" applyBorder="1" applyAlignment="1">
      <alignment vertical="center"/>
    </xf>
    <xf numFmtId="166" fontId="0" fillId="0" borderId="10" xfId="6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6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61" applyFont="1" applyBorder="1" applyAlignment="1">
      <alignment vertical="center"/>
    </xf>
    <xf numFmtId="10" fontId="0" fillId="0" borderId="21" xfId="50" applyNumberFormat="1" applyFont="1" applyBorder="1" applyAlignment="1">
      <alignment vertical="center"/>
    </xf>
    <xf numFmtId="166" fontId="0" fillId="0" borderId="0" xfId="61" applyFont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66" fontId="11" fillId="33" borderId="23" xfId="61" applyFont="1" applyFill="1" applyBorder="1" applyAlignment="1">
      <alignment horizontal="center" vertical="center"/>
    </xf>
    <xf numFmtId="166" fontId="11" fillId="33" borderId="24" xfId="61" applyFont="1" applyFill="1" applyBorder="1" applyAlignment="1">
      <alignment horizontal="center" vertical="center"/>
    </xf>
    <xf numFmtId="166" fontId="3" fillId="0" borderId="25" xfId="61" applyFont="1" applyBorder="1" applyAlignment="1">
      <alignment horizontal="center" vertical="center"/>
    </xf>
    <xf numFmtId="166" fontId="0" fillId="0" borderId="20" xfId="61" applyFont="1" applyBorder="1" applyAlignment="1">
      <alignment horizontal="left" vertical="center"/>
    </xf>
    <xf numFmtId="166" fontId="0" fillId="0" borderId="18" xfId="61" applyFont="1" applyBorder="1" applyAlignment="1">
      <alignment vertical="center"/>
    </xf>
    <xf numFmtId="166" fontId="0" fillId="0" borderId="20" xfId="61" applyFont="1" applyBorder="1" applyAlignment="1">
      <alignment vertical="center"/>
    </xf>
    <xf numFmtId="167" fontId="0" fillId="0" borderId="0" xfId="6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6" xfId="61" applyNumberFormat="1" applyFont="1" applyBorder="1" applyAlignment="1">
      <alignment horizontal="center" vertical="center"/>
    </xf>
    <xf numFmtId="166" fontId="3" fillId="0" borderId="27" xfId="6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166" fontId="0" fillId="0" borderId="25" xfId="61" applyFont="1" applyBorder="1" applyAlignment="1">
      <alignment vertical="center"/>
    </xf>
    <xf numFmtId="166" fontId="0" fillId="0" borderId="16" xfId="61" applyFont="1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17" xfId="61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1" fontId="3" fillId="0" borderId="29" xfId="61" applyNumberFormat="1" applyFont="1" applyBorder="1" applyAlignment="1">
      <alignment horizontal="center" vertical="center"/>
    </xf>
    <xf numFmtId="166" fontId="10" fillId="0" borderId="10" xfId="6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33" borderId="12" xfId="61" applyNumberFormat="1" applyFont="1" applyFill="1" applyBorder="1" applyAlignment="1">
      <alignment horizontal="center" vertical="center"/>
    </xf>
    <xf numFmtId="166" fontId="0" fillId="0" borderId="10" xfId="61" applyFont="1" applyFill="1" applyBorder="1" applyAlignment="1">
      <alignment horizontal="center" vertical="center"/>
    </xf>
    <xf numFmtId="166" fontId="9" fillId="0" borderId="0" xfId="6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66" fontId="0" fillId="34" borderId="11" xfId="6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166" fontId="0" fillId="34" borderId="10" xfId="6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66" fontId="0" fillId="34" borderId="0" xfId="6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67" fontId="0" fillId="0" borderId="10" xfId="61" applyNumberFormat="1" applyFont="1" applyBorder="1" applyAlignment="1">
      <alignment horizontal="center" vertical="center"/>
    </xf>
    <xf numFmtId="166" fontId="0" fillId="34" borderId="10" xfId="61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168" fontId="0" fillId="34" borderId="11" xfId="61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13" fontId="0" fillId="34" borderId="10" xfId="0" applyNumberFormat="1" applyFont="1" applyFill="1" applyBorder="1" applyAlignment="1">
      <alignment horizontal="center" vertical="center"/>
    </xf>
    <xf numFmtId="167" fontId="0" fillId="0" borderId="10" xfId="61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61" applyFont="1" applyBorder="1" applyAlignment="1">
      <alignment horizontal="center" vertical="center"/>
    </xf>
    <xf numFmtId="166" fontId="0" fillId="0" borderId="11" xfId="61" applyFont="1" applyFill="1" applyBorder="1" applyAlignment="1">
      <alignment horizontal="center" vertical="center"/>
    </xf>
    <xf numFmtId="0" fontId="7" fillId="0" borderId="0" xfId="44" applyAlignment="1" applyProtection="1">
      <alignment vertical="center"/>
      <protection/>
    </xf>
    <xf numFmtId="0" fontId="3" fillId="0" borderId="0" xfId="0" applyFont="1" applyAlignment="1">
      <alignment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66" fontId="11" fillId="33" borderId="31" xfId="61" applyFont="1" applyFill="1" applyBorder="1" applyAlignment="1">
      <alignment horizontal="center" vertical="center"/>
    </xf>
    <xf numFmtId="166" fontId="0" fillId="0" borderId="0" xfId="61" applyFont="1" applyFill="1" applyAlignment="1">
      <alignment vertical="center"/>
    </xf>
    <xf numFmtId="166" fontId="3" fillId="0" borderId="10" xfId="61" applyFont="1" applyFill="1" applyBorder="1" applyAlignment="1">
      <alignment horizontal="center"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6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61" applyFont="1" applyAlignment="1">
      <alignment horizontal="center" vertical="center"/>
    </xf>
    <xf numFmtId="166" fontId="3" fillId="0" borderId="34" xfId="61" applyFont="1" applyBorder="1" applyAlignment="1">
      <alignment horizontal="center" vertical="center"/>
    </xf>
    <xf numFmtId="2" fontId="0" fillId="0" borderId="10" xfId="61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61" applyFont="1" applyAlignment="1">
      <alignment horizontal="right" vertical="center"/>
    </xf>
    <xf numFmtId="166" fontId="3" fillId="33" borderId="15" xfId="61" applyFont="1" applyFill="1" applyBorder="1" applyAlignment="1">
      <alignment horizontal="center" vertical="center"/>
    </xf>
    <xf numFmtId="166" fontId="3" fillId="0" borderId="20" xfId="61" applyFont="1" applyBorder="1" applyAlignment="1">
      <alignment vertical="center"/>
    </xf>
    <xf numFmtId="166" fontId="3" fillId="0" borderId="18" xfId="0" applyNumberFormat="1" applyFont="1" applyBorder="1" applyAlignment="1">
      <alignment vertical="center"/>
    </xf>
    <xf numFmtId="166" fontId="3" fillId="0" borderId="18" xfId="61" applyFont="1" applyBorder="1" applyAlignment="1">
      <alignment vertical="center"/>
    </xf>
    <xf numFmtId="10" fontId="3" fillId="0" borderId="21" xfId="50" applyNumberFormat="1" applyFont="1" applyBorder="1" applyAlignment="1">
      <alignment vertical="center"/>
    </xf>
    <xf numFmtId="166" fontId="3" fillId="0" borderId="35" xfId="6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0" fillId="0" borderId="36" xfId="61" applyFont="1" applyBorder="1" applyAlignment="1">
      <alignment vertical="center"/>
    </xf>
    <xf numFmtId="166" fontId="0" fillId="0" borderId="37" xfId="61" applyFont="1" applyBorder="1" applyAlignment="1">
      <alignment vertical="center"/>
    </xf>
    <xf numFmtId="166" fontId="0" fillId="0" borderId="38" xfId="6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39" xfId="61" applyNumberFormat="1" applyFont="1" applyBorder="1" applyAlignment="1">
      <alignment horizontal="center" vertical="center"/>
    </xf>
    <xf numFmtId="166" fontId="3" fillId="0" borderId="20" xfId="6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Continuous" vertical="center"/>
    </xf>
    <xf numFmtId="4" fontId="0" fillId="0" borderId="0" xfId="0" applyNumberFormat="1" applyFont="1" applyBorder="1" applyAlignment="1">
      <alignment vertical="center"/>
    </xf>
    <xf numFmtId="166" fontId="0" fillId="35" borderId="10" xfId="61" applyFont="1" applyFill="1" applyBorder="1" applyAlignment="1">
      <alignment horizontal="center" vertical="center"/>
    </xf>
    <xf numFmtId="166" fontId="0" fillId="35" borderId="10" xfId="61" applyFont="1" applyFill="1" applyBorder="1" applyAlignment="1">
      <alignment vertical="center"/>
    </xf>
    <xf numFmtId="9" fontId="3" fillId="0" borderId="24" xfId="50" applyFont="1" applyBorder="1" applyAlignment="1">
      <alignment vertical="center"/>
    </xf>
    <xf numFmtId="10" fontId="0" fillId="0" borderId="21" xfId="5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3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61" applyFont="1" applyFill="1" applyBorder="1" applyAlignment="1">
      <alignment vertical="center"/>
    </xf>
    <xf numFmtId="166" fontId="0" fillId="0" borderId="36" xfId="6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67" fontId="3" fillId="0" borderId="0" xfId="61" applyNumberFormat="1" applyFont="1" applyBorder="1" applyAlignment="1">
      <alignment horizontal="center" vertical="center"/>
    </xf>
    <xf numFmtId="0" fontId="6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60" fillId="0" borderId="40" xfId="0" applyFont="1" applyBorder="1" applyAlignment="1">
      <alignment/>
    </xf>
    <xf numFmtId="0" fontId="60" fillId="34" borderId="26" xfId="0" applyFont="1" applyFill="1" applyBorder="1" applyAlignment="1">
      <alignment/>
    </xf>
    <xf numFmtId="0" fontId="60" fillId="0" borderId="41" xfId="0" applyFont="1" applyBorder="1" applyAlignment="1">
      <alignment/>
    </xf>
    <xf numFmtId="0" fontId="60" fillId="0" borderId="42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27" xfId="0" applyFont="1" applyBorder="1" applyAlignment="1">
      <alignment/>
    </xf>
    <xf numFmtId="2" fontId="61" fillId="36" borderId="10" xfId="0" applyNumberFormat="1" applyFont="1" applyFill="1" applyBorder="1" applyAlignment="1">
      <alignment horizontal="right" vertical="center"/>
    </xf>
    <xf numFmtId="0" fontId="61" fillId="0" borderId="41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2" fontId="61" fillId="36" borderId="44" xfId="0" applyNumberFormat="1" applyFont="1" applyFill="1" applyBorder="1" applyAlignment="1">
      <alignment horizontal="right" vertical="center"/>
    </xf>
    <xf numFmtId="0" fontId="61" fillId="0" borderId="41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10" fontId="61" fillId="0" borderId="26" xfId="0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0" fontId="62" fillId="0" borderId="26" xfId="0" applyNumberFormat="1" applyFont="1" applyBorder="1" applyAlignment="1">
      <alignment horizontal="right" vertical="center"/>
    </xf>
    <xf numFmtId="0" fontId="61" fillId="37" borderId="41" xfId="0" applyFont="1" applyFill="1" applyBorder="1" applyAlignment="1">
      <alignment horizontal="left" vertical="center"/>
    </xf>
    <xf numFmtId="0" fontId="62" fillId="37" borderId="10" xfId="0" applyFont="1" applyFill="1" applyBorder="1" applyAlignment="1">
      <alignment horizontal="left" vertical="center"/>
    </xf>
    <xf numFmtId="10" fontId="62" fillId="37" borderId="26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10" fontId="0" fillId="0" borderId="0" xfId="0" applyNumberFormat="1" applyFont="1" applyAlignment="1">
      <alignment/>
    </xf>
    <xf numFmtId="9" fontId="61" fillId="0" borderId="0" xfId="50" applyFont="1" applyBorder="1" applyAlignment="1">
      <alignment horizontal="right" vertical="center"/>
    </xf>
    <xf numFmtId="10" fontId="0" fillId="0" borderId="0" xfId="0" applyNumberFormat="1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1" fillId="38" borderId="43" xfId="0" applyFont="1" applyFill="1" applyBorder="1" applyAlignment="1">
      <alignment horizontal="left" vertical="center"/>
    </xf>
    <xf numFmtId="0" fontId="62" fillId="38" borderId="44" xfId="0" applyFont="1" applyFill="1" applyBorder="1" applyAlignment="1">
      <alignment horizontal="left" vertical="center"/>
    </xf>
    <xf numFmtId="10" fontId="62" fillId="38" borderId="39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10" fontId="62" fillId="0" borderId="0" xfId="0" applyNumberFormat="1" applyFont="1" applyFill="1" applyBorder="1" applyAlignment="1">
      <alignment horizontal="right" vertical="center"/>
    </xf>
    <xf numFmtId="0" fontId="64" fillId="39" borderId="0" xfId="0" applyFont="1" applyFill="1" applyBorder="1" applyAlignment="1">
      <alignment horizontal="left" vertical="center"/>
    </xf>
    <xf numFmtId="10" fontId="61" fillId="0" borderId="0" xfId="0" applyNumberFormat="1" applyFont="1" applyFill="1" applyBorder="1" applyAlignment="1">
      <alignment horizontal="right" vertical="center"/>
    </xf>
    <xf numFmtId="0" fontId="61" fillId="39" borderId="0" xfId="0" applyFont="1" applyFill="1" applyBorder="1" applyAlignment="1">
      <alignment horizontal="left" vertical="center"/>
    </xf>
    <xf numFmtId="10" fontId="61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10" fontId="62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justify" vertical="center"/>
    </xf>
    <xf numFmtId="0" fontId="7" fillId="0" borderId="0" xfId="44" applyFont="1" applyBorder="1" applyAlignment="1" applyProtection="1">
      <alignment horizontal="left" vertical="center"/>
      <protection/>
    </xf>
    <xf numFmtId="0" fontId="66" fillId="0" borderId="0" xfId="0" applyFont="1" applyBorder="1" applyAlignment="1">
      <alignment/>
    </xf>
    <xf numFmtId="0" fontId="61" fillId="0" borderId="0" xfId="0" applyFont="1" applyBorder="1" applyAlignment="1">
      <alignment horizontal="right" vertical="center"/>
    </xf>
    <xf numFmtId="0" fontId="7" fillId="0" borderId="0" xfId="44" applyFont="1" applyBorder="1" applyAlignment="1" applyProtection="1">
      <alignment vertical="center"/>
      <protection/>
    </xf>
    <xf numFmtId="0" fontId="5" fillId="0" borderId="21" xfId="0" applyFont="1" applyBorder="1" applyAlignment="1">
      <alignment/>
    </xf>
    <xf numFmtId="0" fontId="5" fillId="0" borderId="41" xfId="0" applyFont="1" applyBorder="1" applyAlignment="1">
      <alignment/>
    </xf>
    <xf numFmtId="0" fontId="5" fillId="34" borderId="26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34" borderId="42" xfId="0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34" borderId="46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5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9" fontId="5" fillId="0" borderId="41" xfId="50" applyFont="1" applyBorder="1" applyAlignment="1">
      <alignment/>
    </xf>
    <xf numFmtId="9" fontId="5" fillId="0" borderId="10" xfId="50" applyFont="1" applyBorder="1" applyAlignment="1">
      <alignment horizontal="center"/>
    </xf>
    <xf numFmtId="9" fontId="5" fillId="0" borderId="26" xfId="50" applyFont="1" applyBorder="1" applyAlignment="1">
      <alignment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0" fontId="5" fillId="34" borderId="17" xfId="0" applyNumberFormat="1" applyFont="1" applyFill="1" applyBorder="1" applyAlignment="1">
      <alignment horizontal="center" vertical="center"/>
    </xf>
    <xf numFmtId="10" fontId="5" fillId="0" borderId="26" xfId="50" applyNumberFormat="1" applyFont="1" applyBorder="1" applyAlignment="1">
      <alignment/>
    </xf>
    <xf numFmtId="0" fontId="5" fillId="0" borderId="4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0" fontId="5" fillId="34" borderId="26" xfId="0" applyNumberFormat="1" applyFont="1" applyFill="1" applyBorder="1" applyAlignment="1">
      <alignment horizontal="center" vertical="center"/>
    </xf>
    <xf numFmtId="10" fontId="5" fillId="0" borderId="26" xfId="0" applyNumberFormat="1" applyFont="1" applyFill="1" applyBorder="1" applyAlignment="1">
      <alignment horizontal="center" vertical="center"/>
    </xf>
    <xf numFmtId="10" fontId="5" fillId="34" borderId="10" xfId="5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43" xfId="0" applyFont="1" applyFill="1" applyBorder="1" applyAlignment="1">
      <alignment horizontal="left" vertical="center"/>
    </xf>
    <xf numFmtId="10" fontId="5" fillId="34" borderId="3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0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0" fontId="6" fillId="37" borderId="13" xfId="0" applyFont="1" applyFill="1" applyBorder="1" applyAlignment="1">
      <alignment vertical="center" wrapText="1"/>
    </xf>
    <xf numFmtId="0" fontId="5" fillId="37" borderId="14" xfId="0" applyFont="1" applyFill="1" applyBorder="1" applyAlignment="1">
      <alignment vertical="center"/>
    </xf>
    <xf numFmtId="10" fontId="6" fillId="37" borderId="15" xfId="0" applyNumberFormat="1" applyFont="1" applyFill="1" applyBorder="1" applyAlignment="1">
      <alignment horizontal="center" vertical="center" wrapText="1"/>
    </xf>
    <xf numFmtId="10" fontId="5" fillId="0" borderId="41" xfId="50" applyNumberFormat="1" applyFont="1" applyBorder="1" applyAlignment="1">
      <alignment horizontal="right"/>
    </xf>
    <xf numFmtId="10" fontId="5" fillId="0" borderId="10" xfId="50" applyNumberFormat="1" applyFont="1" applyBorder="1" applyAlignment="1">
      <alignment horizontal="right"/>
    </xf>
    <xf numFmtId="10" fontId="5" fillId="0" borderId="26" xfId="50" applyNumberFormat="1" applyFont="1" applyBorder="1" applyAlignment="1">
      <alignment horizontal="right"/>
    </xf>
    <xf numFmtId="10" fontId="5" fillId="0" borderId="43" xfId="50" applyNumberFormat="1" applyFont="1" applyBorder="1" applyAlignment="1">
      <alignment horizontal="right"/>
    </xf>
    <xf numFmtId="10" fontId="5" fillId="0" borderId="44" xfId="50" applyNumberFormat="1" applyFont="1" applyBorder="1" applyAlignment="1">
      <alignment horizontal="right"/>
    </xf>
    <xf numFmtId="10" fontId="5" fillId="0" borderId="39" xfId="5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0" fontId="67" fillId="0" borderId="53" xfId="0" applyFont="1" applyBorder="1" applyAlignment="1">
      <alignment horizontal="justify"/>
    </xf>
    <xf numFmtId="0" fontId="67" fillId="0" borderId="54" xfId="0" applyFont="1" applyBorder="1" applyAlignment="1">
      <alignment horizontal="justify"/>
    </xf>
    <xf numFmtId="0" fontId="15" fillId="40" borderId="55" xfId="0" applyFont="1" applyFill="1" applyBorder="1" applyAlignment="1">
      <alignment horizontal="center"/>
    </xf>
    <xf numFmtId="1" fontId="0" fillId="0" borderId="0" xfId="61" applyNumberFormat="1" applyFont="1" applyBorder="1" applyAlignment="1">
      <alignment horizontal="center" vertical="center"/>
    </xf>
    <xf numFmtId="166" fontId="3" fillId="0" borderId="15" xfId="61" applyFont="1" applyBorder="1" applyAlignment="1">
      <alignment horizontal="right" vertical="center"/>
    </xf>
    <xf numFmtId="166" fontId="3" fillId="33" borderId="12" xfId="61" applyFont="1" applyFill="1" applyBorder="1" applyAlignment="1">
      <alignment horizontal="right" vertical="center"/>
    </xf>
    <xf numFmtId="169" fontId="3" fillId="0" borderId="10" xfId="0" applyNumberFormat="1" applyFon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9" fontId="3" fillId="0" borderId="44" xfId="0" applyNumberFormat="1" applyFont="1" applyBorder="1" applyAlignment="1">
      <alignment vertical="center"/>
    </xf>
    <xf numFmtId="166" fontId="3" fillId="0" borderId="16" xfId="61" applyFont="1" applyBorder="1" applyAlignment="1">
      <alignment vertical="center"/>
    </xf>
    <xf numFmtId="166" fontId="3" fillId="0" borderId="13" xfId="61" applyFont="1" applyBorder="1" applyAlignment="1">
      <alignment vertical="center"/>
    </xf>
    <xf numFmtId="9" fontId="3" fillId="34" borderId="15" xfId="5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6" fontId="3" fillId="0" borderId="18" xfId="61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168" fontId="0" fillId="0" borderId="10" xfId="61" applyNumberFormat="1" applyFont="1" applyBorder="1" applyAlignment="1">
      <alignment horizontal="center" vertical="center"/>
    </xf>
    <xf numFmtId="167" fontId="3" fillId="0" borderId="10" xfId="61" applyNumberFormat="1" applyFont="1" applyBorder="1" applyAlignment="1">
      <alignment horizontal="center" vertical="center"/>
    </xf>
    <xf numFmtId="168" fontId="3" fillId="0" borderId="10" xfId="61" applyNumberFormat="1" applyFont="1" applyBorder="1" applyAlignment="1">
      <alignment horizontal="center" vertical="center"/>
    </xf>
    <xf numFmtId="168" fontId="0" fillId="0" borderId="11" xfId="6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66" fontId="3" fillId="0" borderId="56" xfId="61" applyFont="1" applyBorder="1" applyAlignment="1">
      <alignment horizontal="center" vertical="center"/>
    </xf>
    <xf numFmtId="166" fontId="3" fillId="0" borderId="56" xfId="6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4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1" fontId="63" fillId="0" borderId="26" xfId="61" applyNumberFormat="1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Border="1" applyAlignment="1">
      <alignment/>
    </xf>
    <xf numFmtId="172" fontId="5" fillId="34" borderId="26" xfId="0" applyNumberFormat="1" applyFont="1" applyFill="1" applyBorder="1" applyAlignment="1">
      <alignment/>
    </xf>
    <xf numFmtId="172" fontId="5" fillId="0" borderId="39" xfId="0" applyNumberFormat="1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73" fontId="5" fillId="34" borderId="26" xfId="0" applyNumberFormat="1" applyFont="1" applyFill="1" applyBorder="1" applyAlignment="1">
      <alignment/>
    </xf>
    <xf numFmtId="0" fontId="5" fillId="0" borderId="4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26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170" fontId="6" fillId="0" borderId="26" xfId="0" applyNumberFormat="1" applyFont="1" applyBorder="1" applyAlignment="1">
      <alignment/>
    </xf>
    <xf numFmtId="9" fontId="60" fillId="0" borderId="26" xfId="50" applyFont="1" applyBorder="1" applyAlignment="1">
      <alignment/>
    </xf>
    <xf numFmtId="10" fontId="60" fillId="0" borderId="26" xfId="50" applyNumberFormat="1" applyFont="1" applyBorder="1" applyAlignment="1">
      <alignment/>
    </xf>
    <xf numFmtId="9" fontId="6" fillId="0" borderId="29" xfId="50" applyFont="1" applyBorder="1" applyAlignment="1">
      <alignment/>
    </xf>
    <xf numFmtId="0" fontId="5" fillId="0" borderId="57" xfId="0" applyFont="1" applyBorder="1" applyAlignment="1">
      <alignment/>
    </xf>
    <xf numFmtId="174" fontId="0" fillId="34" borderId="11" xfId="61" applyNumberFormat="1" applyFont="1" applyFill="1" applyBorder="1" applyAlignment="1">
      <alignment horizontal="center" vertical="center"/>
    </xf>
    <xf numFmtId="166" fontId="68" fillId="0" borderId="0" xfId="61" applyFont="1" applyAlignment="1">
      <alignment vertical="center"/>
    </xf>
    <xf numFmtId="0" fontId="68" fillId="0" borderId="0" xfId="0" applyFont="1" applyAlignment="1">
      <alignment vertical="center"/>
    </xf>
    <xf numFmtId="164" fontId="68" fillId="0" borderId="0" xfId="0" applyNumberFormat="1" applyFont="1" applyAlignment="1">
      <alignment vertical="center"/>
    </xf>
    <xf numFmtId="0" fontId="69" fillId="0" borderId="0" xfId="0" applyFont="1" applyAlignment="1">
      <alignment/>
    </xf>
    <xf numFmtId="167" fontId="0" fillId="0" borderId="10" xfId="61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0" fillId="34" borderId="10" xfId="0" applyNumberFormat="1" applyFont="1" applyFill="1" applyBorder="1" applyAlignment="1">
      <alignment vertical="center"/>
    </xf>
    <xf numFmtId="0" fontId="20" fillId="41" borderId="0" xfId="0" applyFont="1" applyFill="1" applyAlignment="1">
      <alignment horizontal="justify" vertical="center" wrapText="1"/>
    </xf>
    <xf numFmtId="0" fontId="20" fillId="42" borderId="0" xfId="0" applyFont="1" applyFill="1" applyAlignment="1">
      <alignment horizontal="justify" vertical="center"/>
    </xf>
    <xf numFmtId="0" fontId="20" fillId="42" borderId="0" xfId="0" applyFont="1" applyFill="1" applyAlignment="1">
      <alignment horizontal="justify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20" xfId="61" applyFont="1" applyBorder="1" applyAlignment="1">
      <alignment horizontal="left" vertical="center"/>
    </xf>
    <xf numFmtId="166" fontId="3" fillId="0" borderId="18" xfId="61" applyFont="1" applyBorder="1" applyAlignment="1">
      <alignment horizontal="left" vertical="center"/>
    </xf>
    <xf numFmtId="0" fontId="15" fillId="43" borderId="49" xfId="0" applyFont="1" applyFill="1" applyBorder="1" applyAlignment="1">
      <alignment horizontal="center" vertical="center"/>
    </xf>
    <xf numFmtId="0" fontId="15" fillId="43" borderId="50" xfId="0" applyFont="1" applyFill="1" applyBorder="1" applyAlignment="1">
      <alignment horizontal="center" vertical="center"/>
    </xf>
    <xf numFmtId="0" fontId="15" fillId="43" borderId="51" xfId="0" applyFont="1" applyFill="1" applyBorder="1" applyAlignment="1">
      <alignment horizontal="center" vertical="center"/>
    </xf>
    <xf numFmtId="0" fontId="6" fillId="43" borderId="58" xfId="0" applyFont="1" applyFill="1" applyBorder="1" applyAlignment="1">
      <alignment horizontal="center" vertical="center"/>
    </xf>
    <xf numFmtId="0" fontId="6" fillId="43" borderId="59" xfId="0" applyFont="1" applyFill="1" applyBorder="1" applyAlignment="1">
      <alignment horizontal="center" vertical="center"/>
    </xf>
    <xf numFmtId="0" fontId="6" fillId="43" borderId="60" xfId="0" applyFont="1" applyFill="1" applyBorder="1" applyAlignment="1">
      <alignment horizontal="center" vertical="center"/>
    </xf>
    <xf numFmtId="166" fontId="3" fillId="0" borderId="13" xfId="61" applyFont="1" applyBorder="1" applyAlignment="1">
      <alignment horizontal="center" vertical="center"/>
    </xf>
    <xf numFmtId="166" fontId="3" fillId="0" borderId="14" xfId="61" applyFont="1" applyBorder="1" applyAlignment="1">
      <alignment horizontal="center" vertical="center"/>
    </xf>
    <xf numFmtId="166" fontId="3" fillId="0" borderId="61" xfId="61" applyFont="1" applyBorder="1" applyAlignment="1">
      <alignment horizontal="center" vertical="center"/>
    </xf>
    <xf numFmtId="166" fontId="4" fillId="43" borderId="13" xfId="61" applyFont="1" applyFill="1" applyBorder="1" applyAlignment="1">
      <alignment horizontal="center" vertical="center"/>
    </xf>
    <xf numFmtId="166" fontId="4" fillId="43" borderId="14" xfId="61" applyFont="1" applyFill="1" applyBorder="1" applyAlignment="1">
      <alignment horizontal="center" vertical="center"/>
    </xf>
    <xf numFmtId="166" fontId="4" fillId="43" borderId="15" xfId="61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center" vertical="center"/>
    </xf>
    <xf numFmtId="0" fontId="15" fillId="43" borderId="48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0" borderId="25" xfId="0" applyFont="1" applyFill="1" applyBorder="1" applyAlignment="1">
      <alignment horizontal="center"/>
    </xf>
    <xf numFmtId="0" fontId="15" fillId="40" borderId="62" xfId="0" applyFont="1" applyFill="1" applyBorder="1" applyAlignment="1">
      <alignment horizontal="center"/>
    </xf>
    <xf numFmtId="49" fontId="70" fillId="0" borderId="63" xfId="0" applyNumberFormat="1" applyFont="1" applyFill="1" applyBorder="1" applyAlignment="1">
      <alignment wrapText="1"/>
    </xf>
    <xf numFmtId="49" fontId="0" fillId="0" borderId="64" xfId="0" applyNumberForma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9" fontId="6" fillId="0" borderId="47" xfId="50" applyFont="1" applyBorder="1" applyAlignment="1">
      <alignment horizontal="center"/>
    </xf>
    <xf numFmtId="9" fontId="6" fillId="0" borderId="48" xfId="50" applyFont="1" applyBorder="1" applyAlignment="1">
      <alignment horizontal="center"/>
    </xf>
    <xf numFmtId="9" fontId="6" fillId="0" borderId="17" xfId="50" applyFont="1" applyBorder="1" applyAlignment="1">
      <alignment horizontal="center"/>
    </xf>
    <xf numFmtId="0" fontId="4" fillId="40" borderId="49" xfId="0" applyFont="1" applyFill="1" applyBorder="1" applyAlignment="1">
      <alignment horizontal="center" vertical="center"/>
    </xf>
    <xf numFmtId="0" fontId="4" fillId="40" borderId="50" xfId="0" applyFont="1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15" fillId="40" borderId="47" xfId="0" applyFont="1" applyFill="1" applyBorder="1" applyAlignment="1">
      <alignment horizontal="center"/>
    </xf>
    <xf numFmtId="0" fontId="15" fillId="40" borderId="48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742950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209675"/>
          <a:ext cx="2038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5"/>
  <sheetViews>
    <sheetView view="pageBreakPreview" zoomScaleSheetLayoutView="100" zoomScalePageLayoutView="0" workbookViewId="0" topLeftCell="A190">
      <selection activeCell="A280" sqref="A280"/>
    </sheetView>
  </sheetViews>
  <sheetFormatPr defaultColWidth="9.140625" defaultRowHeight="12.75"/>
  <cols>
    <col min="1" max="1" width="44.57421875" style="9" customWidth="1"/>
    <col min="2" max="2" width="16.00390625" style="9" bestFit="1" customWidth="1"/>
    <col min="3" max="3" width="11.8515625" style="9" customWidth="1"/>
    <col min="4" max="4" width="14.7109375" style="10" customWidth="1"/>
    <col min="5" max="5" width="15.421875" style="10" customWidth="1"/>
    <col min="6" max="6" width="13.28125" style="10" customWidth="1"/>
    <col min="7" max="7" width="28.140625" style="10" customWidth="1"/>
    <col min="8" max="8" width="9.140625" style="9" customWidth="1"/>
    <col min="9" max="9" width="14.57421875" style="9" customWidth="1"/>
    <col min="10" max="10" width="13.421875" style="9" customWidth="1"/>
    <col min="11" max="16384" width="9.140625" style="9" customWidth="1"/>
  </cols>
  <sheetData>
    <row r="1" ht="15.75">
      <c r="A1" s="298"/>
    </row>
    <row r="2" spans="1:7" s="4" customFormat="1" ht="16.5" customHeight="1" thickBot="1">
      <c r="A2" s="7"/>
      <c r="B2" s="5"/>
      <c r="C2" s="5"/>
      <c r="D2" s="6"/>
      <c r="E2" s="6"/>
      <c r="F2" s="6"/>
      <c r="G2" s="6"/>
    </row>
    <row r="3" spans="1:7" s="8" customFormat="1" ht="18">
      <c r="A3" s="321" t="s">
        <v>216</v>
      </c>
      <c r="B3" s="322"/>
      <c r="C3" s="322"/>
      <c r="D3" s="322"/>
      <c r="E3" s="322"/>
      <c r="F3" s="323"/>
      <c r="G3" s="36"/>
    </row>
    <row r="4" spans="1:7" s="8" customFormat="1" ht="21.75" customHeight="1">
      <c r="A4" s="324" t="s">
        <v>40</v>
      </c>
      <c r="B4" s="325"/>
      <c r="C4" s="325"/>
      <c r="D4" s="325"/>
      <c r="E4" s="325"/>
      <c r="F4" s="326"/>
      <c r="G4" s="36"/>
    </row>
    <row r="5" spans="1:7" s="4" customFormat="1" ht="10.5" customHeight="1" thickBot="1">
      <c r="A5" s="149"/>
      <c r="B5" s="150"/>
      <c r="C5" s="150"/>
      <c r="D5" s="151"/>
      <c r="E5" s="151"/>
      <c r="F5" s="152"/>
      <c r="G5" s="6"/>
    </row>
    <row r="6" spans="1:7" s="4" customFormat="1" ht="15.75" customHeight="1" thickBot="1">
      <c r="A6" s="330" t="s">
        <v>203</v>
      </c>
      <c r="B6" s="331"/>
      <c r="C6" s="331"/>
      <c r="D6" s="331"/>
      <c r="E6" s="331"/>
      <c r="F6" s="332"/>
      <c r="G6" s="6"/>
    </row>
    <row r="7" spans="1:7" s="4" customFormat="1" ht="15.75" customHeight="1">
      <c r="A7" s="64" t="s">
        <v>202</v>
      </c>
      <c r="B7" s="40"/>
      <c r="C7" s="40"/>
      <c r="D7" s="255"/>
      <c r="E7" s="115" t="s">
        <v>35</v>
      </c>
      <c r="F7" s="41" t="s">
        <v>1</v>
      </c>
      <c r="G7" s="6"/>
    </row>
    <row r="8" spans="1:7" s="11" customFormat="1" ht="15.75" customHeight="1">
      <c r="A8" s="125" t="str">
        <f>A45</f>
        <v>1. Mão-de-obra</v>
      </c>
      <c r="B8" s="126"/>
      <c r="C8" s="127"/>
      <c r="D8" s="127"/>
      <c r="E8" s="252">
        <f>+F115</f>
        <v>3957.257421853603</v>
      </c>
      <c r="F8" s="128">
        <f>_xlfn.IFERROR(E8/$E$28,0)</f>
        <v>0.277866794112397</v>
      </c>
      <c r="G8" s="44"/>
    </row>
    <row r="9" spans="1:7" s="4" customFormat="1" ht="15.75" customHeight="1">
      <c r="A9" s="49" t="str">
        <f>A47</f>
        <v>1.1. Coletor Turno Dia</v>
      </c>
      <c r="B9" s="45"/>
      <c r="C9" s="47"/>
      <c r="D9" s="47"/>
      <c r="E9" s="253">
        <f>F55</f>
        <v>2402.755546978483</v>
      </c>
      <c r="F9" s="58">
        <f>_xlfn.IFERROR(E9/$E$28,0)</f>
        <v>0.16871431643230345</v>
      </c>
      <c r="G9" s="6"/>
    </row>
    <row r="10" spans="1:7" s="4" customFormat="1" ht="15.75" customHeight="1">
      <c r="A10" s="49" t="str">
        <f>A57</f>
        <v>1.2. Coletor Turno Noite</v>
      </c>
      <c r="B10" s="45"/>
      <c r="C10" s="47"/>
      <c r="D10" s="47"/>
      <c r="E10" s="253">
        <f>F67</f>
        <v>0</v>
      </c>
      <c r="F10" s="58">
        <f aca="true" t="shared" si="0" ref="F10:F27">_xlfn.IFERROR(E10/$E$28,0)</f>
        <v>0</v>
      </c>
      <c r="G10" s="6"/>
    </row>
    <row r="11" spans="1:7" s="4" customFormat="1" ht="15.75" customHeight="1">
      <c r="A11" s="49" t="str">
        <f>A69</f>
        <v>1.3. Motorista Turno do Dia</v>
      </c>
      <c r="B11" s="45"/>
      <c r="C11" s="47"/>
      <c r="D11" s="47"/>
      <c r="E11" s="253">
        <f>F79</f>
        <v>1554.5018748751202</v>
      </c>
      <c r="F11" s="58">
        <f t="shared" si="0"/>
        <v>0.10915247768009362</v>
      </c>
      <c r="G11" s="6"/>
    </row>
    <row r="12" spans="1:7" s="4" customFormat="1" ht="15.75" customHeight="1">
      <c r="A12" s="49" t="str">
        <f>A81</f>
        <v>1.4. Motorista Turno Noite</v>
      </c>
      <c r="B12" s="45"/>
      <c r="C12" s="47"/>
      <c r="D12" s="47"/>
      <c r="E12" s="253">
        <f>F93</f>
        <v>0</v>
      </c>
      <c r="F12" s="58">
        <f t="shared" si="0"/>
        <v>0</v>
      </c>
      <c r="G12" s="6"/>
    </row>
    <row r="13" spans="1:7" s="4" customFormat="1" ht="15.75" customHeight="1">
      <c r="A13" s="49" t="str">
        <f>A95</f>
        <v>1.5. Vale Transporte</v>
      </c>
      <c r="B13" s="45"/>
      <c r="C13" s="47"/>
      <c r="D13" s="47"/>
      <c r="E13" s="253">
        <f>F101</f>
        <v>0</v>
      </c>
      <c r="F13" s="58">
        <f t="shared" si="0"/>
        <v>0</v>
      </c>
      <c r="G13" s="6"/>
    </row>
    <row r="14" spans="1:7" s="4" customFormat="1" ht="15.75" customHeight="1">
      <c r="A14" s="49" t="str">
        <f>A103</f>
        <v>1.6. Vale-refeição (diário)</v>
      </c>
      <c r="B14" s="45"/>
      <c r="C14" s="47"/>
      <c r="D14" s="47"/>
      <c r="E14" s="253">
        <f>F107</f>
        <v>0</v>
      </c>
      <c r="F14" s="58">
        <f t="shared" si="0"/>
        <v>0</v>
      </c>
      <c r="G14" s="6"/>
    </row>
    <row r="15" spans="1:7" s="4" customFormat="1" ht="15.75" customHeight="1">
      <c r="A15" s="49" t="str">
        <f>A109</f>
        <v>1.7. Auxílio Alimentação (mensal)</v>
      </c>
      <c r="B15" s="45"/>
      <c r="C15" s="47"/>
      <c r="D15" s="47"/>
      <c r="E15" s="253">
        <f>F113</f>
        <v>0</v>
      </c>
      <c r="F15" s="58">
        <f t="shared" si="0"/>
        <v>0</v>
      </c>
      <c r="G15" s="6"/>
    </row>
    <row r="16" spans="1:7" s="11" customFormat="1" ht="15.75" customHeight="1">
      <c r="A16" s="319" t="str">
        <f>A117</f>
        <v>2. Uniformes e Equipamentos de Proteção Individual</v>
      </c>
      <c r="B16" s="320"/>
      <c r="C16" s="320"/>
      <c r="D16" s="127"/>
      <c r="E16" s="252">
        <f>+F149</f>
        <v>393.07500000000005</v>
      </c>
      <c r="F16" s="128">
        <f t="shared" si="0"/>
        <v>0.02760055221390425</v>
      </c>
      <c r="G16" s="44"/>
    </row>
    <row r="17" spans="1:7" s="11" customFormat="1" ht="15.75" customHeight="1">
      <c r="A17" s="136" t="str">
        <f>A151</f>
        <v>3. Veículos e Equipamentos</v>
      </c>
      <c r="B17" s="137"/>
      <c r="C17" s="127"/>
      <c r="D17" s="127"/>
      <c r="E17" s="252">
        <f>+F228</f>
        <v>6752.607180633056</v>
      </c>
      <c r="F17" s="128">
        <f t="shared" si="0"/>
        <v>0.47414790324759243</v>
      </c>
      <c r="G17" s="44"/>
    </row>
    <row r="18" spans="1:7" s="4" customFormat="1" ht="15.75" customHeight="1">
      <c r="A18" s="65" t="str">
        <f>A153</f>
        <v>3.1. Veículo Coletor Compactador 15 m³</v>
      </c>
      <c r="B18" s="46"/>
      <c r="C18" s="47"/>
      <c r="D18" s="47"/>
      <c r="E18" s="253">
        <f>SUM(E19:E24)</f>
        <v>6752.607180633056</v>
      </c>
      <c r="F18" s="142">
        <f t="shared" si="0"/>
        <v>0.47414790324759243</v>
      </c>
      <c r="G18" s="6"/>
    </row>
    <row r="19" spans="1:7" s="4" customFormat="1" ht="15.75" customHeight="1">
      <c r="A19" s="65" t="str">
        <f>A155</f>
        <v>3.1.1. Depreciação</v>
      </c>
      <c r="B19" s="46"/>
      <c r="C19" s="47"/>
      <c r="D19" s="47"/>
      <c r="E19" s="253">
        <f>F169</f>
        <v>897.36483525</v>
      </c>
      <c r="F19" s="142">
        <f t="shared" si="0"/>
        <v>0.06301027791194863</v>
      </c>
      <c r="G19" s="6"/>
    </row>
    <row r="20" spans="1:7" s="4" customFormat="1" ht="15.75" customHeight="1">
      <c r="A20" s="65" t="str">
        <f>A171</f>
        <v>3.1.2. Remuneração do Capital</v>
      </c>
      <c r="B20" s="46"/>
      <c r="C20" s="47"/>
      <c r="D20" s="47"/>
      <c r="E20" s="253">
        <f>F185</f>
        <v>194.5869148275</v>
      </c>
      <c r="F20" s="142">
        <f t="shared" si="0"/>
        <v>0.013663311843386</v>
      </c>
      <c r="G20" s="6"/>
    </row>
    <row r="21" spans="1:7" s="4" customFormat="1" ht="15.75" customHeight="1">
      <c r="A21" s="65" t="str">
        <f>A187</f>
        <v>3.1.3. Impostos e Seguros</v>
      </c>
      <c r="B21" s="46"/>
      <c r="C21" s="47"/>
      <c r="D21" s="47"/>
      <c r="E21" s="253">
        <f>F193</f>
        <v>105.67537499999999</v>
      </c>
      <c r="F21" s="142">
        <f t="shared" si="0"/>
        <v>0.007420209134163737</v>
      </c>
      <c r="G21" s="6"/>
    </row>
    <row r="22" spans="1:7" s="4" customFormat="1" ht="15.75" customHeight="1">
      <c r="A22" s="65" t="str">
        <f>A195</f>
        <v>3.1.4. Consumos</v>
      </c>
      <c r="B22" s="46"/>
      <c r="C22" s="47"/>
      <c r="D22" s="47"/>
      <c r="E22" s="253">
        <f>F211</f>
        <v>3387.4712555555557</v>
      </c>
      <c r="F22" s="142">
        <f t="shared" si="0"/>
        <v>0.23785811171420437</v>
      </c>
      <c r="G22" s="6"/>
    </row>
    <row r="23" spans="1:7" s="4" customFormat="1" ht="15.75" customHeight="1">
      <c r="A23" s="65" t="str">
        <f>A213</f>
        <v>3.1.5. Manutenção</v>
      </c>
      <c r="B23" s="46"/>
      <c r="C23" s="47"/>
      <c r="D23" s="47"/>
      <c r="E23" s="253">
        <f>F216</f>
        <v>1476.0336</v>
      </c>
      <c r="F23" s="142">
        <f t="shared" si="0"/>
        <v>0.10364266983725003</v>
      </c>
      <c r="G23" s="6"/>
    </row>
    <row r="24" spans="1:7" s="4" customFormat="1" ht="15.75" customHeight="1">
      <c r="A24" s="65" t="str">
        <f>A218</f>
        <v>3.1.6. Pneus</v>
      </c>
      <c r="B24" s="46"/>
      <c r="C24" s="47"/>
      <c r="D24" s="47"/>
      <c r="E24" s="253">
        <f>F225</f>
        <v>691.4752000000001</v>
      </c>
      <c r="F24" s="142">
        <f t="shared" si="0"/>
        <v>0.048553322806639654</v>
      </c>
      <c r="G24" s="6"/>
    </row>
    <row r="25" spans="1:7" s="11" customFormat="1" ht="15.75" customHeight="1">
      <c r="A25" s="136" t="str">
        <f>A230</f>
        <v>4. Ferramentas e Materiais de Consumo</v>
      </c>
      <c r="B25" s="137"/>
      <c r="C25" s="127"/>
      <c r="D25" s="127"/>
      <c r="E25" s="252">
        <f>+F240</f>
        <v>51.166666666666664</v>
      </c>
      <c r="F25" s="128">
        <f t="shared" si="0"/>
        <v>0.003592770476231679</v>
      </c>
      <c r="G25" s="44"/>
    </row>
    <row r="26" spans="1:7" s="11" customFormat="1" ht="15.75" customHeight="1">
      <c r="A26" s="136" t="str">
        <f>A242</f>
        <v>5. Monitoramento da Frota</v>
      </c>
      <c r="B26" s="137"/>
      <c r="C26" s="127"/>
      <c r="D26" s="127"/>
      <c r="E26" s="252">
        <f>+F251</f>
        <v>0</v>
      </c>
      <c r="F26" s="128">
        <f t="shared" si="0"/>
        <v>0</v>
      </c>
      <c r="G26" s="44"/>
    </row>
    <row r="27" spans="1:7" s="11" customFormat="1" ht="15.75" customHeight="1" thickBot="1">
      <c r="A27" s="136" t="str">
        <f>A255</f>
        <v>6. Benefícios e Despesas Indiretas - BDI</v>
      </c>
      <c r="B27" s="137"/>
      <c r="C27" s="127"/>
      <c r="D27" s="127"/>
      <c r="E27" s="254">
        <f>+F261</f>
        <v>3087.4566153016403</v>
      </c>
      <c r="F27" s="128">
        <f t="shared" si="0"/>
        <v>0.2167919799498747</v>
      </c>
      <c r="G27" s="44"/>
    </row>
    <row r="28" spans="1:7" s="4" customFormat="1" ht="15.75" customHeight="1" thickBot="1">
      <c r="A28" s="42" t="s">
        <v>236</v>
      </c>
      <c r="B28" s="43"/>
      <c r="C28" s="26"/>
      <c r="D28" s="26"/>
      <c r="E28" s="114">
        <f>E8+E16+E17+E25+E26+E27</f>
        <v>14241.562884454965</v>
      </c>
      <c r="F28" s="141">
        <f>F8+F16+F17+F25+F26+F27</f>
        <v>1</v>
      </c>
      <c r="G28" s="6"/>
    </row>
    <row r="29" ht="12.75"/>
    <row r="30" ht="13.5" thickBot="1"/>
    <row r="31" spans="1:7" s="4" customFormat="1" ht="15" customHeight="1" thickBot="1">
      <c r="A31" s="330" t="s">
        <v>96</v>
      </c>
      <c r="B31" s="331"/>
      <c r="C31" s="331"/>
      <c r="D31" s="331"/>
      <c r="E31" s="332"/>
      <c r="F31" s="10"/>
      <c r="G31" s="6"/>
    </row>
    <row r="32" spans="1:7" s="4" customFormat="1" ht="15" customHeight="1" thickBot="1">
      <c r="A32" s="327" t="s">
        <v>36</v>
      </c>
      <c r="B32" s="328"/>
      <c r="C32" s="328"/>
      <c r="D32" s="329"/>
      <c r="E32" s="48" t="s">
        <v>37</v>
      </c>
      <c r="F32" s="10"/>
      <c r="G32" s="6"/>
    </row>
    <row r="33" spans="1:7" s="4" customFormat="1" ht="15" customHeight="1">
      <c r="A33" s="73" t="str">
        <f>+A47</f>
        <v>1.1. Coletor Turno Dia</v>
      </c>
      <c r="B33" s="74"/>
      <c r="C33" s="74"/>
      <c r="D33" s="75"/>
      <c r="E33" s="76">
        <f>C54</f>
        <v>2</v>
      </c>
      <c r="F33" s="10"/>
      <c r="G33" s="6"/>
    </row>
    <row r="34" spans="1:7" s="4" customFormat="1" ht="15" customHeight="1">
      <c r="A34" s="67" t="str">
        <f>+A57</f>
        <v>1.2. Coletor Turno Noite</v>
      </c>
      <c r="B34" s="66"/>
      <c r="C34" s="66"/>
      <c r="D34" s="77"/>
      <c r="E34" s="70">
        <f>C66</f>
        <v>0</v>
      </c>
      <c r="F34" s="10"/>
      <c r="G34" s="6"/>
    </row>
    <row r="35" spans="1:7" s="4" customFormat="1" ht="15" customHeight="1">
      <c r="A35" s="67" t="str">
        <f>+A69</f>
        <v>1.3. Motorista Turno do Dia</v>
      </c>
      <c r="B35" s="66"/>
      <c r="C35" s="66"/>
      <c r="D35" s="77"/>
      <c r="E35" s="70">
        <f>C78</f>
        <v>1</v>
      </c>
      <c r="F35" s="10"/>
      <c r="G35" s="6"/>
    </row>
    <row r="36" spans="1:7" s="4" customFormat="1" ht="15" customHeight="1">
      <c r="A36" s="67" t="str">
        <f>+A81</f>
        <v>1.4. Motorista Turno Noite</v>
      </c>
      <c r="B36" s="66"/>
      <c r="C36" s="66"/>
      <c r="D36" s="77"/>
      <c r="E36" s="70">
        <f>C92</f>
        <v>0</v>
      </c>
      <c r="F36" s="10"/>
      <c r="G36" s="6"/>
    </row>
    <row r="37" spans="1:7" s="4" customFormat="1" ht="15" customHeight="1" thickBot="1">
      <c r="A37" s="71" t="s">
        <v>56</v>
      </c>
      <c r="B37" s="72"/>
      <c r="C37" s="72"/>
      <c r="D37" s="78"/>
      <c r="E37" s="79">
        <f>SUM(E33:E36)</f>
        <v>3</v>
      </c>
      <c r="F37" s="10"/>
      <c r="G37" s="6"/>
    </row>
    <row r="38" spans="1:7" s="4" customFormat="1" ht="15" customHeight="1" thickBot="1">
      <c r="A38" s="129"/>
      <c r="B38" s="130"/>
      <c r="C38" s="59"/>
      <c r="D38" s="59"/>
      <c r="E38" s="131"/>
      <c r="F38" s="10"/>
      <c r="G38" s="6"/>
    </row>
    <row r="39" spans="1:7" s="4" customFormat="1" ht="15" customHeight="1">
      <c r="A39" s="317" t="s">
        <v>53</v>
      </c>
      <c r="B39" s="318"/>
      <c r="C39" s="318"/>
      <c r="D39" s="318"/>
      <c r="E39" s="48" t="s">
        <v>37</v>
      </c>
      <c r="F39" s="9"/>
      <c r="G39" s="6"/>
    </row>
    <row r="40" spans="1:7" s="4" customFormat="1" ht="15" customHeight="1" thickBot="1">
      <c r="A40" s="132" t="str">
        <f>+A153</f>
        <v>3.1. Veículo Coletor Compactador 15 m³</v>
      </c>
      <c r="B40" s="133"/>
      <c r="C40" s="133"/>
      <c r="D40" s="134"/>
      <c r="E40" s="135">
        <f>C168</f>
        <v>1</v>
      </c>
      <c r="F40" s="9"/>
      <c r="G40" s="6"/>
    </row>
    <row r="41" spans="1:7" s="4" customFormat="1" ht="15" customHeight="1" thickBot="1">
      <c r="A41" s="59"/>
      <c r="B41" s="59"/>
      <c r="C41" s="59"/>
      <c r="D41" s="54"/>
      <c r="E41" s="249"/>
      <c r="F41" s="9"/>
      <c r="G41" s="6"/>
    </row>
    <row r="42" spans="1:7" s="4" customFormat="1" ht="13.5" thickBot="1">
      <c r="A42" s="35" t="s">
        <v>302</v>
      </c>
      <c r="B42" s="257">
        <v>0.36</v>
      </c>
      <c r="C42" s="59"/>
      <c r="D42" s="54"/>
      <c r="E42" s="68"/>
      <c r="F42" s="9"/>
      <c r="G42" s="6"/>
    </row>
    <row r="43" spans="1:7" s="11" customFormat="1" ht="15.75" customHeight="1" thickBot="1">
      <c r="A43" s="256" t="s">
        <v>301</v>
      </c>
      <c r="B43" s="257">
        <v>0.45</v>
      </c>
      <c r="C43" s="35"/>
      <c r="D43" s="34"/>
      <c r="E43" s="154"/>
      <c r="G43" s="44"/>
    </row>
    <row r="44" spans="1:7" s="4" customFormat="1" ht="15.75" customHeight="1">
      <c r="A44" s="59"/>
      <c r="B44" s="59"/>
      <c r="C44" s="59"/>
      <c r="D44" s="54"/>
      <c r="E44" s="68"/>
      <c r="F44" s="9"/>
      <c r="G44" s="6"/>
    </row>
    <row r="45" ht="12.75" customHeight="1">
      <c r="A45" s="11" t="s">
        <v>44</v>
      </c>
    </row>
    <row r="46" ht="11.25" customHeight="1"/>
    <row r="47" ht="13.5" customHeight="1" thickBot="1">
      <c r="A47" s="9" t="s">
        <v>98</v>
      </c>
    </row>
    <row r="48" spans="1:6" ht="13.5" customHeight="1" thickBot="1">
      <c r="A48" s="60" t="s">
        <v>61</v>
      </c>
      <c r="B48" s="61" t="s">
        <v>62</v>
      </c>
      <c r="C48" s="61" t="s">
        <v>37</v>
      </c>
      <c r="D48" s="62" t="s">
        <v>232</v>
      </c>
      <c r="E48" s="62" t="s">
        <v>63</v>
      </c>
      <c r="F48" s="63" t="s">
        <v>64</v>
      </c>
    </row>
    <row r="49" spans="1:5" ht="12.75" customHeight="1">
      <c r="A49" s="13" t="s">
        <v>212</v>
      </c>
      <c r="B49" s="14" t="s">
        <v>7</v>
      </c>
      <c r="C49" s="14">
        <v>1</v>
      </c>
      <c r="D49" s="87">
        <v>1397.27</v>
      </c>
      <c r="E49" s="15">
        <f>C49*D49</f>
        <v>1397.27</v>
      </c>
    </row>
    <row r="50" spans="1:5" ht="12.75">
      <c r="A50" s="16" t="s">
        <v>0</v>
      </c>
      <c r="B50" s="17" t="s">
        <v>1</v>
      </c>
      <c r="C50" s="17">
        <v>40</v>
      </c>
      <c r="D50" s="83">
        <f>SUM(E49:E49)</f>
        <v>1397.27</v>
      </c>
      <c r="E50" s="18">
        <f>C50*D50/100</f>
        <v>558.908</v>
      </c>
    </row>
    <row r="51" spans="1:5" ht="12.75">
      <c r="A51" s="116" t="s">
        <v>2</v>
      </c>
      <c r="B51" s="117"/>
      <c r="C51" s="117"/>
      <c r="D51" s="118"/>
      <c r="E51" s="119">
        <f>SUM(E49:E50)</f>
        <v>1956.1779999999999</v>
      </c>
    </row>
    <row r="52" spans="1:5" ht="12.75">
      <c r="A52" s="16" t="s">
        <v>3</v>
      </c>
      <c r="B52" s="17" t="s">
        <v>1</v>
      </c>
      <c r="C52" s="139">
        <f>'2.Encargos Sociais'!$C$34*100</f>
        <v>70.595952</v>
      </c>
      <c r="D52" s="18">
        <f>E51</f>
        <v>1956.1779999999999</v>
      </c>
      <c r="E52" s="18">
        <f>D52*C52/100</f>
        <v>1380.98248191456</v>
      </c>
    </row>
    <row r="53" spans="1:5" ht="12.75">
      <c r="A53" s="116" t="s">
        <v>70</v>
      </c>
      <c r="B53" s="117"/>
      <c r="C53" s="117"/>
      <c r="D53" s="118"/>
      <c r="E53" s="119">
        <f>E51+E52</f>
        <v>3337.1604819145596</v>
      </c>
    </row>
    <row r="54" spans="1:7" ht="13.5" thickBot="1">
      <c r="A54" s="16" t="s">
        <v>4</v>
      </c>
      <c r="B54" s="17" t="s">
        <v>5</v>
      </c>
      <c r="C54" s="86">
        <v>2</v>
      </c>
      <c r="D54" s="18">
        <f>E53</f>
        <v>3337.1604819145596</v>
      </c>
      <c r="E54" s="18">
        <f>C54*D54</f>
        <v>6674.320963829119</v>
      </c>
      <c r="G54" s="6"/>
    </row>
    <row r="55" spans="4:7" ht="13.5" customHeight="1" thickBot="1">
      <c r="D55" s="123" t="s">
        <v>197</v>
      </c>
      <c r="E55" s="50">
        <f>$B$42</f>
        <v>0.36</v>
      </c>
      <c r="F55" s="124">
        <f>E54*E55</f>
        <v>2402.755546978483</v>
      </c>
      <c r="G55" s="6"/>
    </row>
    <row r="56" ht="11.25" customHeight="1"/>
    <row r="57" ht="13.5" thickBot="1">
      <c r="A57" s="9" t="s">
        <v>89</v>
      </c>
    </row>
    <row r="58" spans="1:6" ht="13.5" thickBot="1">
      <c r="A58" s="60" t="s">
        <v>61</v>
      </c>
      <c r="B58" s="61" t="s">
        <v>62</v>
      </c>
      <c r="C58" s="61" t="s">
        <v>37</v>
      </c>
      <c r="D58" s="62" t="s">
        <v>232</v>
      </c>
      <c r="E58" s="62" t="s">
        <v>63</v>
      </c>
      <c r="F58" s="63" t="s">
        <v>64</v>
      </c>
    </row>
    <row r="59" spans="1:5" ht="12.75">
      <c r="A59" s="13" t="s">
        <v>212</v>
      </c>
      <c r="B59" s="14" t="s">
        <v>7</v>
      </c>
      <c r="C59" s="14">
        <v>1</v>
      </c>
      <c r="D59" s="15">
        <f>D49</f>
        <v>1397.27</v>
      </c>
      <c r="E59" s="15">
        <f>C59*D59</f>
        <v>1397.27</v>
      </c>
    </row>
    <row r="60" spans="1:5" ht="12.75">
      <c r="A60" s="16" t="s">
        <v>6</v>
      </c>
      <c r="B60" s="17" t="s">
        <v>97</v>
      </c>
      <c r="C60" s="88"/>
      <c r="D60" s="18"/>
      <c r="E60" s="18"/>
    </row>
    <row r="61" spans="1:5" ht="12.75">
      <c r="A61" s="16"/>
      <c r="B61" s="17" t="s">
        <v>101</v>
      </c>
      <c r="C61" s="120">
        <f>C60*8/7</f>
        <v>0</v>
      </c>
      <c r="D61" s="18">
        <f>D59/220*0.2</f>
        <v>1.2702454545454547</v>
      </c>
      <c r="E61" s="18">
        <f>C61*D61</f>
        <v>0</v>
      </c>
    </row>
    <row r="62" spans="1:5" ht="12.75">
      <c r="A62" s="16" t="s">
        <v>0</v>
      </c>
      <c r="B62" s="17" t="s">
        <v>1</v>
      </c>
      <c r="C62" s="17">
        <f>+C50</f>
        <v>40</v>
      </c>
      <c r="D62" s="83">
        <f>SUM(E59:E61)</f>
        <v>1397.27</v>
      </c>
      <c r="E62" s="18">
        <f>C62*D62/100</f>
        <v>558.908</v>
      </c>
    </row>
    <row r="63" spans="1:5" ht="12.75">
      <c r="A63" s="116" t="s">
        <v>2</v>
      </c>
      <c r="B63" s="117"/>
      <c r="C63" s="117"/>
      <c r="D63" s="118"/>
      <c r="E63" s="119">
        <f>SUM(E59:E62)</f>
        <v>1956.1779999999999</v>
      </c>
    </row>
    <row r="64" spans="1:5" ht="12.75">
      <c r="A64" s="16" t="s">
        <v>3</v>
      </c>
      <c r="B64" s="17" t="s">
        <v>1</v>
      </c>
      <c r="C64" s="139">
        <f>'2.Encargos Sociais'!$C$34*100</f>
        <v>70.595952</v>
      </c>
      <c r="D64" s="18">
        <f>E63</f>
        <v>1956.1779999999999</v>
      </c>
      <c r="E64" s="18">
        <f>D64*C64/100</f>
        <v>1380.98248191456</v>
      </c>
    </row>
    <row r="65" spans="1:5" ht="12.75">
      <c r="A65" s="116" t="s">
        <v>70</v>
      </c>
      <c r="B65" s="117"/>
      <c r="C65" s="117"/>
      <c r="D65" s="118"/>
      <c r="E65" s="119">
        <f>E63+E64</f>
        <v>3337.1604819145596</v>
      </c>
    </row>
    <row r="66" spans="1:5" ht="13.5" thickBot="1">
      <c r="A66" s="16" t="s">
        <v>4</v>
      </c>
      <c r="B66" s="17" t="s">
        <v>5</v>
      </c>
      <c r="C66" s="86"/>
      <c r="D66" s="18">
        <f>E65</f>
        <v>3337.1604819145596</v>
      </c>
      <c r="E66" s="18">
        <f>C66*D66</f>
        <v>0</v>
      </c>
    </row>
    <row r="67" spans="4:6" ht="13.5" thickBot="1">
      <c r="D67" s="123" t="s">
        <v>197</v>
      </c>
      <c r="E67" s="50">
        <f>$B$43</f>
        <v>0.45</v>
      </c>
      <c r="F67" s="124">
        <f>E66*E67</f>
        <v>0</v>
      </c>
    </row>
    <row r="68" ht="11.25" customHeight="1"/>
    <row r="69" ht="13.5" thickBot="1">
      <c r="A69" s="9" t="s">
        <v>99</v>
      </c>
    </row>
    <row r="70" spans="1:7" s="12" customFormat="1" ht="12.75" customHeight="1" thickBot="1">
      <c r="A70" s="60" t="s">
        <v>61</v>
      </c>
      <c r="B70" s="61" t="s">
        <v>62</v>
      </c>
      <c r="C70" s="61" t="s">
        <v>37</v>
      </c>
      <c r="D70" s="62" t="s">
        <v>232</v>
      </c>
      <c r="E70" s="62" t="s">
        <v>63</v>
      </c>
      <c r="F70" s="63" t="s">
        <v>64</v>
      </c>
      <c r="G70" s="10"/>
    </row>
    <row r="71" spans="1:5" ht="12.75">
      <c r="A71" s="300" t="s">
        <v>280</v>
      </c>
      <c r="B71" s="14" t="s">
        <v>7</v>
      </c>
      <c r="C71" s="14">
        <v>1</v>
      </c>
      <c r="D71" s="87">
        <v>1804.93</v>
      </c>
      <c r="E71" s="15">
        <f>C71*D71</f>
        <v>1804.93</v>
      </c>
    </row>
    <row r="72" spans="1:5" ht="12.75">
      <c r="A72" s="300" t="s">
        <v>281</v>
      </c>
      <c r="B72" s="14" t="s">
        <v>7</v>
      </c>
      <c r="C72" s="14">
        <v>1</v>
      </c>
      <c r="D72" s="87">
        <v>1100</v>
      </c>
      <c r="E72" s="15"/>
    </row>
    <row r="73" spans="1:5" ht="12.75">
      <c r="A73" s="16" t="s">
        <v>213</v>
      </c>
      <c r="B73" s="17"/>
      <c r="C73" s="90">
        <v>1</v>
      </c>
      <c r="D73" s="18"/>
      <c r="E73" s="18"/>
    </row>
    <row r="74" spans="1:5" ht="12.75">
      <c r="A74" s="16" t="s">
        <v>0</v>
      </c>
      <c r="B74" s="17" t="s">
        <v>1</v>
      </c>
      <c r="C74" s="86">
        <v>20</v>
      </c>
      <c r="D74" s="83">
        <f>IF(C73=2,SUM(E71:E72),IF(C73=1,(SUM(E71:E72))*D72/D71,0))</f>
        <v>1100</v>
      </c>
      <c r="E74" s="18">
        <f>C74*D74/100</f>
        <v>220</v>
      </c>
    </row>
    <row r="75" spans="1:7" s="11" customFormat="1" ht="12.75">
      <c r="A75" s="103" t="s">
        <v>2</v>
      </c>
      <c r="B75" s="117"/>
      <c r="C75" s="117"/>
      <c r="D75" s="118"/>
      <c r="E75" s="105">
        <f>SUM(E71:E74)</f>
        <v>2024.93</v>
      </c>
      <c r="F75" s="44"/>
      <c r="G75" s="44"/>
    </row>
    <row r="76" spans="1:5" ht="12.75">
      <c r="A76" s="16" t="s">
        <v>3</v>
      </c>
      <c r="B76" s="17" t="s">
        <v>1</v>
      </c>
      <c r="C76" s="139">
        <f>'2.Encargos Sociais'!$C$34*100</f>
        <v>70.595952</v>
      </c>
      <c r="D76" s="18">
        <f>E75</f>
        <v>2024.93</v>
      </c>
      <c r="E76" s="18">
        <f>D76*C76/100</f>
        <v>1429.5186108336002</v>
      </c>
    </row>
    <row r="77" spans="1:7" s="11" customFormat="1" ht="12.75">
      <c r="A77" s="103" t="s">
        <v>246</v>
      </c>
      <c r="B77" s="263"/>
      <c r="C77" s="263"/>
      <c r="D77" s="264"/>
      <c r="E77" s="105">
        <f>E75+E76</f>
        <v>3454.4486108336005</v>
      </c>
      <c r="F77" s="44"/>
      <c r="G77" s="44"/>
    </row>
    <row r="78" spans="1:5" ht="13.5" thickBot="1">
      <c r="A78" s="16" t="s">
        <v>4</v>
      </c>
      <c r="B78" s="17" t="s">
        <v>5</v>
      </c>
      <c r="C78" s="86">
        <v>1</v>
      </c>
      <c r="D78" s="18">
        <f>E77</f>
        <v>3454.4486108336005</v>
      </c>
      <c r="E78" s="18">
        <f>C78*D78</f>
        <v>3454.4486108336005</v>
      </c>
    </row>
    <row r="79" spans="4:6" ht="13.5" thickBot="1">
      <c r="D79" s="123" t="s">
        <v>197</v>
      </c>
      <c r="E79" s="50">
        <f>$B$43</f>
        <v>0.45</v>
      </c>
      <c r="F79" s="124">
        <f>E78*E79</f>
        <v>1554.5018748751202</v>
      </c>
    </row>
    <row r="80" ht="11.25" customHeight="1"/>
    <row r="81" ht="13.5" thickBot="1">
      <c r="A81" s="9" t="s">
        <v>100</v>
      </c>
    </row>
    <row r="82" spans="1:6" ht="13.5" thickBot="1">
      <c r="A82" s="60" t="s">
        <v>61</v>
      </c>
      <c r="B82" s="61" t="s">
        <v>62</v>
      </c>
      <c r="C82" s="61" t="s">
        <v>37</v>
      </c>
      <c r="D82" s="62" t="s">
        <v>232</v>
      </c>
      <c r="E82" s="62" t="s">
        <v>63</v>
      </c>
      <c r="F82" s="63" t="s">
        <v>64</v>
      </c>
    </row>
    <row r="83" spans="1:5" ht="12.75">
      <c r="A83" s="300" t="s">
        <v>280</v>
      </c>
      <c r="B83" s="14" t="s">
        <v>7</v>
      </c>
      <c r="C83" s="14">
        <v>1</v>
      </c>
      <c r="D83" s="15">
        <v>1852.57</v>
      </c>
      <c r="E83" s="15">
        <f>C83*D83</f>
        <v>1852.57</v>
      </c>
    </row>
    <row r="84" spans="1:5" ht="12.75">
      <c r="A84" s="300" t="s">
        <v>281</v>
      </c>
      <c r="B84" s="14" t="s">
        <v>7</v>
      </c>
      <c r="C84" s="14">
        <v>1</v>
      </c>
      <c r="D84" s="18">
        <f>D72</f>
        <v>1100</v>
      </c>
      <c r="E84" s="18"/>
    </row>
    <row r="85" spans="1:5" ht="12.75">
      <c r="A85" s="16" t="s">
        <v>6</v>
      </c>
      <c r="B85" s="17" t="s">
        <v>97</v>
      </c>
      <c r="C85" s="88"/>
      <c r="D85" s="16"/>
      <c r="E85" s="16"/>
    </row>
    <row r="86" spans="1:5" ht="12.75">
      <c r="A86" s="16"/>
      <c r="B86" s="17" t="s">
        <v>101</v>
      </c>
      <c r="C86" s="18">
        <f>C85*8/7</f>
        <v>0</v>
      </c>
      <c r="D86" s="18">
        <f>D83/220*0.2</f>
        <v>1.6841545454545455</v>
      </c>
      <c r="E86" s="18">
        <f>C86*D86</f>
        <v>0</v>
      </c>
    </row>
    <row r="87" spans="1:5" ht="12.75">
      <c r="A87" s="16" t="s">
        <v>213</v>
      </c>
      <c r="B87" s="17"/>
      <c r="C87" s="90"/>
      <c r="D87" s="18"/>
      <c r="E87" s="18"/>
    </row>
    <row r="88" spans="1:5" ht="12.75">
      <c r="A88" s="16" t="s">
        <v>0</v>
      </c>
      <c r="B88" s="17" t="s">
        <v>1</v>
      </c>
      <c r="C88" s="83">
        <f>+C74</f>
        <v>20</v>
      </c>
      <c r="D88" s="83">
        <f>IF(C87=2,SUM(E83:E86),IF(C87=1,SUM(E83:E86)*D84/D83,0))</f>
        <v>0</v>
      </c>
      <c r="E88" s="18">
        <f>C88*D88/100</f>
        <v>0</v>
      </c>
    </row>
    <row r="89" spans="1:7" s="11" customFormat="1" ht="12.75">
      <c r="A89" s="116" t="s">
        <v>2</v>
      </c>
      <c r="B89" s="117"/>
      <c r="C89" s="117"/>
      <c r="D89" s="118"/>
      <c r="E89" s="119">
        <f>SUM(E83:E88)</f>
        <v>1852.57</v>
      </c>
      <c r="F89" s="44"/>
      <c r="G89" s="44"/>
    </row>
    <row r="90" spans="1:5" ht="12.75">
      <c r="A90" s="16" t="s">
        <v>3</v>
      </c>
      <c r="B90" s="17" t="s">
        <v>1</v>
      </c>
      <c r="C90" s="139">
        <f>'2.Encargos Sociais'!$C$34*100</f>
        <v>70.595952</v>
      </c>
      <c r="D90" s="18">
        <f>E89</f>
        <v>1852.57</v>
      </c>
      <c r="E90" s="18">
        <f>D90*C90/100</f>
        <v>1307.8394279663999</v>
      </c>
    </row>
    <row r="91" spans="1:7" s="11" customFormat="1" ht="12.75">
      <c r="A91" s="116" t="s">
        <v>246</v>
      </c>
      <c r="B91" s="117"/>
      <c r="C91" s="117"/>
      <c r="D91" s="118"/>
      <c r="E91" s="119">
        <f>E89+E90</f>
        <v>3160.4094279663996</v>
      </c>
      <c r="F91" s="44"/>
      <c r="G91" s="44"/>
    </row>
    <row r="92" spans="1:5" ht="13.5" thickBot="1">
      <c r="A92" s="16" t="s">
        <v>4</v>
      </c>
      <c r="B92" s="17" t="s">
        <v>5</v>
      </c>
      <c r="C92" s="86"/>
      <c r="D92" s="18">
        <f>E91</f>
        <v>3160.4094279663996</v>
      </c>
      <c r="E92" s="18">
        <f>C92*D92</f>
        <v>0</v>
      </c>
    </row>
    <row r="93" spans="4:6" ht="13.5" thickBot="1">
      <c r="D93" s="123" t="s">
        <v>197</v>
      </c>
      <c r="E93" s="50">
        <f>$B$43</f>
        <v>0.45</v>
      </c>
      <c r="F93" s="124">
        <f>E92*E93</f>
        <v>0</v>
      </c>
    </row>
    <row r="94" ht="11.25" customHeight="1">
      <c r="G94" s="9"/>
    </row>
    <row r="95" spans="1:7" ht="13.5" thickBot="1">
      <c r="A95" s="9" t="s">
        <v>102</v>
      </c>
      <c r="B95" s="93"/>
      <c r="D95" s="9"/>
      <c r="E95" s="9"/>
      <c r="G95" s="9"/>
    </row>
    <row r="96" spans="1:7" ht="13.5" thickBot="1">
      <c r="A96" s="60" t="s">
        <v>61</v>
      </c>
      <c r="B96" s="61" t="s">
        <v>62</v>
      </c>
      <c r="C96" s="61" t="s">
        <v>37</v>
      </c>
      <c r="D96" s="62" t="s">
        <v>232</v>
      </c>
      <c r="E96" s="62" t="s">
        <v>63</v>
      </c>
      <c r="F96" s="63" t="s">
        <v>64</v>
      </c>
      <c r="G96" s="9"/>
    </row>
    <row r="97" spans="1:7" ht="12.75">
      <c r="A97" s="16" t="s">
        <v>90</v>
      </c>
      <c r="B97" s="17" t="s">
        <v>32</v>
      </c>
      <c r="C97" s="94">
        <v>1</v>
      </c>
      <c r="D97" s="92"/>
      <c r="E97" s="18"/>
      <c r="G97" s="9"/>
    </row>
    <row r="98" spans="1:7" ht="12.75">
      <c r="A98" s="16" t="s">
        <v>91</v>
      </c>
      <c r="B98" s="17" t="s">
        <v>92</v>
      </c>
      <c r="C98" s="91"/>
      <c r="D98" s="18"/>
      <c r="E98" s="18"/>
      <c r="G98" s="9"/>
    </row>
    <row r="99" spans="1:7" ht="12.75">
      <c r="A99" s="16" t="s">
        <v>71</v>
      </c>
      <c r="B99" s="17" t="s">
        <v>8</v>
      </c>
      <c r="C99" s="37">
        <f>$C$98*2*(C54+C66)</f>
        <v>0</v>
      </c>
      <c r="D99" s="15" t="str">
        <f>_xlfn.IFERROR((($C$98*2*$D$97)-(E49*0.06*C98/26))/($C$98*2),"-")</f>
        <v>-</v>
      </c>
      <c r="E99" s="18" t="str">
        <f>_xlfn.IFERROR(C99*D99,"-")</f>
        <v>-</v>
      </c>
      <c r="G99" s="9"/>
    </row>
    <row r="100" spans="1:7" ht="13.5" thickBot="1">
      <c r="A100" s="13" t="s">
        <v>41</v>
      </c>
      <c r="B100" s="14" t="s">
        <v>8</v>
      </c>
      <c r="C100" s="37">
        <f>$C$98*2*(C78+C92)</f>
        <v>0</v>
      </c>
      <c r="D100" s="15" t="str">
        <f>_xlfn.IFERROR((($C$98*2*$D$97)-(E71*0.06*C98/26))/($C$98*2),"-")</f>
        <v>-</v>
      </c>
      <c r="E100" s="15" t="str">
        <f>_xlfn.IFERROR(C100*D100,"-")</f>
        <v>-</v>
      </c>
      <c r="G100" s="9"/>
    </row>
    <row r="101" spans="6:7" ht="13.5" thickBot="1">
      <c r="F101" s="22">
        <f>SUM(E99:E100)</f>
        <v>0</v>
      </c>
      <c r="G101" s="9"/>
    </row>
    <row r="102" ht="11.25" customHeight="1">
      <c r="G102" s="9"/>
    </row>
    <row r="103" spans="1:7" ht="13.5" thickBot="1">
      <c r="A103" s="9" t="s">
        <v>124</v>
      </c>
      <c r="F103" s="23"/>
      <c r="G103" s="9"/>
    </row>
    <row r="104" spans="1:7" ht="13.5" thickBot="1">
      <c r="A104" s="60" t="s">
        <v>61</v>
      </c>
      <c r="B104" s="61" t="s">
        <v>62</v>
      </c>
      <c r="C104" s="61" t="s">
        <v>37</v>
      </c>
      <c r="D104" s="62" t="s">
        <v>232</v>
      </c>
      <c r="E104" s="62" t="s">
        <v>63</v>
      </c>
      <c r="F104" s="63" t="s">
        <v>64</v>
      </c>
      <c r="G104" s="9"/>
    </row>
    <row r="105" spans="1:7" ht="12.75">
      <c r="A105" s="16" t="str">
        <f>+A99</f>
        <v>Coletor</v>
      </c>
      <c r="B105" s="17" t="s">
        <v>9</v>
      </c>
      <c r="C105" s="102">
        <f>C98*(E33+E34)</f>
        <v>0</v>
      </c>
      <c r="D105" s="95"/>
      <c r="E105" s="50">
        <f>C105*D105</f>
        <v>0</v>
      </c>
      <c r="F105" s="23"/>
      <c r="G105" s="9"/>
    </row>
    <row r="106" spans="1:7" ht="13.5" thickBot="1">
      <c r="A106" s="16" t="str">
        <f>+A100</f>
        <v>Motorista</v>
      </c>
      <c r="B106" s="17" t="s">
        <v>9</v>
      </c>
      <c r="C106" s="102">
        <f>C98*(E35+E36)</f>
        <v>0</v>
      </c>
      <c r="D106" s="95"/>
      <c r="E106" s="50">
        <f>C106*D106</f>
        <v>0</v>
      </c>
      <c r="F106" s="23"/>
      <c r="G106" s="9"/>
    </row>
    <row r="107" spans="6:7" ht="13.5" thickBot="1">
      <c r="F107" s="22">
        <f>SUM(E105:E106)</f>
        <v>0</v>
      </c>
      <c r="G107" s="9"/>
    </row>
    <row r="108" ht="12.75">
      <c r="G108" s="9"/>
    </row>
    <row r="109" spans="1:7" ht="13.5" thickBot="1">
      <c r="A109" s="9" t="s">
        <v>125</v>
      </c>
      <c r="F109" s="23"/>
      <c r="G109" s="9"/>
    </row>
    <row r="110" spans="1:7" ht="13.5" thickBot="1">
      <c r="A110" s="60" t="s">
        <v>61</v>
      </c>
      <c r="B110" s="61" t="s">
        <v>62</v>
      </c>
      <c r="C110" s="61" t="s">
        <v>37</v>
      </c>
      <c r="D110" s="62" t="s">
        <v>232</v>
      </c>
      <c r="E110" s="62" t="s">
        <v>63</v>
      </c>
      <c r="F110" s="63" t="s">
        <v>64</v>
      </c>
      <c r="G110" s="9"/>
    </row>
    <row r="111" spans="1:7" ht="12.75">
      <c r="A111" s="16" t="str">
        <f>+A105</f>
        <v>Coletor</v>
      </c>
      <c r="B111" s="17" t="s">
        <v>9</v>
      </c>
      <c r="C111" s="102">
        <f>E33+E34</f>
        <v>2</v>
      </c>
      <c r="D111" s="95"/>
      <c r="E111" s="50">
        <f>C111*D111</f>
        <v>0</v>
      </c>
      <c r="F111" s="23"/>
      <c r="G111" s="9"/>
    </row>
    <row r="112" spans="1:7" ht="13.5" thickBot="1">
      <c r="A112" s="16" t="str">
        <f>+A106</f>
        <v>Motorista</v>
      </c>
      <c r="B112" s="17" t="s">
        <v>9</v>
      </c>
      <c r="C112" s="102">
        <f>E35+E36</f>
        <v>1</v>
      </c>
      <c r="D112" s="95"/>
      <c r="E112" s="50">
        <f>C112*D112</f>
        <v>0</v>
      </c>
      <c r="F112" s="23"/>
      <c r="G112" s="9"/>
    </row>
    <row r="113" spans="4:7" ht="13.5" thickBot="1">
      <c r="D113" s="123" t="s">
        <v>197</v>
      </c>
      <c r="E113" s="50">
        <f>$B$43</f>
        <v>0.45</v>
      </c>
      <c r="F113" s="22">
        <f>SUM(E111:E112)*E113</f>
        <v>0</v>
      </c>
      <c r="G113" s="9"/>
    </row>
    <row r="114" ht="13.5" thickBot="1">
      <c r="G114" s="9"/>
    </row>
    <row r="115" spans="1:7" ht="13.5" thickBot="1">
      <c r="A115" s="24" t="s">
        <v>93</v>
      </c>
      <c r="B115" s="25"/>
      <c r="C115" s="25"/>
      <c r="D115" s="26"/>
      <c r="E115" s="27"/>
      <c r="F115" s="22">
        <f>F113+F107+F101+F93+F79+F67+F55</f>
        <v>3957.257421853603</v>
      </c>
      <c r="G115" s="9"/>
    </row>
    <row r="116" ht="12.75"/>
    <row r="117" spans="1:7" ht="12.75">
      <c r="A117" s="11" t="s">
        <v>42</v>
      </c>
      <c r="G117" s="9"/>
    </row>
    <row r="118" ht="11.25" customHeight="1">
      <c r="G118" s="9"/>
    </row>
    <row r="119" spans="1:7" ht="13.5" customHeight="1">
      <c r="A119" s="9" t="s">
        <v>198</v>
      </c>
      <c r="G119" s="9"/>
    </row>
    <row r="120" ht="11.25" customHeight="1" thickBot="1">
      <c r="G120" s="9"/>
    </row>
    <row r="121" spans="1:7" ht="27.75" customHeight="1" thickBot="1">
      <c r="A121" s="60" t="s">
        <v>61</v>
      </c>
      <c r="B121" s="61" t="s">
        <v>62</v>
      </c>
      <c r="C121" s="265" t="s">
        <v>247</v>
      </c>
      <c r="D121" s="62" t="s">
        <v>232</v>
      </c>
      <c r="E121" s="62" t="s">
        <v>63</v>
      </c>
      <c r="F121" s="63" t="s">
        <v>64</v>
      </c>
      <c r="G121" s="9"/>
    </row>
    <row r="122" spans="1:7" ht="12.75">
      <c r="A122" s="13" t="s">
        <v>65</v>
      </c>
      <c r="B122" s="14" t="s">
        <v>9</v>
      </c>
      <c r="C122" s="101">
        <v>3</v>
      </c>
      <c r="D122" s="87">
        <v>90</v>
      </c>
      <c r="E122" s="15">
        <f>_xlfn.IFERROR(D122/C122,0)</f>
        <v>30</v>
      </c>
      <c r="G122" s="9"/>
    </row>
    <row r="123" spans="1:7" ht="12.75" customHeight="1">
      <c r="A123" s="16" t="s">
        <v>28</v>
      </c>
      <c r="B123" s="17" t="s">
        <v>9</v>
      </c>
      <c r="C123" s="101">
        <v>2</v>
      </c>
      <c r="D123" s="87">
        <v>65</v>
      </c>
      <c r="E123" s="15">
        <f aca="true" t="shared" si="1" ref="E123:E131">_xlfn.IFERROR(D123/C123,0)</f>
        <v>32.5</v>
      </c>
      <c r="G123" s="9"/>
    </row>
    <row r="124" spans="1:7" ht="12.75">
      <c r="A124" s="16" t="s">
        <v>29</v>
      </c>
      <c r="B124" s="17" t="s">
        <v>9</v>
      </c>
      <c r="C124" s="101">
        <v>2</v>
      </c>
      <c r="D124" s="87">
        <v>22</v>
      </c>
      <c r="E124" s="15">
        <f t="shared" si="1"/>
        <v>11</v>
      </c>
      <c r="G124" s="9"/>
    </row>
    <row r="125" spans="1:7" ht="12.75" customHeight="1">
      <c r="A125" s="16" t="s">
        <v>30</v>
      </c>
      <c r="B125" s="17" t="s">
        <v>9</v>
      </c>
      <c r="C125" s="101">
        <v>3</v>
      </c>
      <c r="D125" s="87">
        <v>20</v>
      </c>
      <c r="E125" s="15">
        <f t="shared" si="1"/>
        <v>6.666666666666667</v>
      </c>
      <c r="G125" s="9"/>
    </row>
    <row r="126" spans="1:7" ht="13.5" customHeight="1">
      <c r="A126" s="16" t="s">
        <v>67</v>
      </c>
      <c r="B126" s="17" t="s">
        <v>45</v>
      </c>
      <c r="C126" s="101">
        <v>2</v>
      </c>
      <c r="D126" s="87">
        <v>60</v>
      </c>
      <c r="E126" s="15">
        <f t="shared" si="1"/>
        <v>30</v>
      </c>
      <c r="G126" s="9"/>
    </row>
    <row r="127" spans="1:5" ht="12.75" customHeight="1">
      <c r="A127" s="16" t="s">
        <v>94</v>
      </c>
      <c r="B127" s="17" t="s">
        <v>45</v>
      </c>
      <c r="C127" s="101">
        <v>2</v>
      </c>
      <c r="D127" s="87">
        <v>12</v>
      </c>
      <c r="E127" s="15">
        <f t="shared" si="1"/>
        <v>6</v>
      </c>
    </row>
    <row r="128" spans="1:5" ht="12.75">
      <c r="A128" s="16" t="s">
        <v>66</v>
      </c>
      <c r="B128" s="17" t="s">
        <v>9</v>
      </c>
      <c r="C128" s="101">
        <v>4</v>
      </c>
      <c r="D128" s="87">
        <v>190</v>
      </c>
      <c r="E128" s="15">
        <f t="shared" si="1"/>
        <v>47.5</v>
      </c>
    </row>
    <row r="129" spans="1:7" s="1" customFormat="1" ht="12.75">
      <c r="A129" s="2" t="s">
        <v>10</v>
      </c>
      <c r="B129" s="3" t="s">
        <v>9</v>
      </c>
      <c r="C129" s="101">
        <v>3</v>
      </c>
      <c r="D129" s="87">
        <v>40</v>
      </c>
      <c r="E129" s="15">
        <f t="shared" si="1"/>
        <v>13.333333333333334</v>
      </c>
      <c r="F129" s="38"/>
      <c r="G129" s="38"/>
    </row>
    <row r="130" spans="1:5" ht="12.75">
      <c r="A130" s="16" t="s">
        <v>31</v>
      </c>
      <c r="B130" s="17" t="s">
        <v>45</v>
      </c>
      <c r="C130" s="101">
        <v>2</v>
      </c>
      <c r="D130" s="87">
        <v>25</v>
      </c>
      <c r="E130" s="15">
        <f t="shared" si="1"/>
        <v>12.5</v>
      </c>
    </row>
    <row r="131" spans="1:5" ht="12.75" customHeight="1">
      <c r="A131" s="16" t="s">
        <v>60</v>
      </c>
      <c r="B131" s="17" t="s">
        <v>46</v>
      </c>
      <c r="C131" s="101">
        <v>2</v>
      </c>
      <c r="D131" s="87">
        <v>17</v>
      </c>
      <c r="E131" s="15">
        <f t="shared" si="1"/>
        <v>8.5</v>
      </c>
    </row>
    <row r="132" spans="1:5" ht="12.75">
      <c r="A132" s="16" t="s">
        <v>199</v>
      </c>
      <c r="B132" s="17" t="s">
        <v>126</v>
      </c>
      <c r="C132" s="121">
        <v>1</v>
      </c>
      <c r="D132" s="87">
        <v>106</v>
      </c>
      <c r="E132" s="18">
        <f>C132*D132</f>
        <v>106</v>
      </c>
    </row>
    <row r="133" spans="1:5" ht="13.5" thickBot="1">
      <c r="A133" s="16" t="s">
        <v>4</v>
      </c>
      <c r="B133" s="17" t="s">
        <v>5</v>
      </c>
      <c r="C133" s="69">
        <f>E33+E34</f>
        <v>2</v>
      </c>
      <c r="D133" s="18">
        <f>+SUM(E122:E132)</f>
        <v>304</v>
      </c>
      <c r="E133" s="18">
        <f>C133*D133</f>
        <v>608</v>
      </c>
    </row>
    <row r="134" spans="4:6" ht="13.5" thickBot="1">
      <c r="D134" s="123" t="s">
        <v>197</v>
      </c>
      <c r="E134" s="50">
        <f>$B$43</f>
        <v>0.45</v>
      </c>
      <c r="F134" s="124">
        <f>E133*E134</f>
        <v>273.6</v>
      </c>
    </row>
    <row r="135" ht="11.25" customHeight="1"/>
    <row r="136" ht="13.5" customHeight="1">
      <c r="A136" s="9" t="s">
        <v>200</v>
      </c>
    </row>
    <row r="137" ht="11.25" customHeight="1" thickBot="1"/>
    <row r="138" spans="1:6" ht="24.75" thickBot="1">
      <c r="A138" s="60" t="s">
        <v>61</v>
      </c>
      <c r="B138" s="61" t="s">
        <v>62</v>
      </c>
      <c r="C138" s="265" t="s">
        <v>247</v>
      </c>
      <c r="D138" s="62" t="s">
        <v>232</v>
      </c>
      <c r="E138" s="62" t="s">
        <v>63</v>
      </c>
      <c r="F138" s="63" t="s">
        <v>64</v>
      </c>
    </row>
    <row r="139" spans="1:5" ht="12.75">
      <c r="A139" s="13" t="s">
        <v>65</v>
      </c>
      <c r="B139" s="14" t="s">
        <v>9</v>
      </c>
      <c r="C139" s="101">
        <v>3</v>
      </c>
      <c r="D139" s="15">
        <f>+D122</f>
        <v>90</v>
      </c>
      <c r="E139" s="15">
        <f aca="true" t="shared" si="2" ref="E139:E144">_xlfn.IFERROR(D139/C139,0)</f>
        <v>30</v>
      </c>
    </row>
    <row r="140" spans="1:5" ht="12.75">
      <c r="A140" s="16" t="s">
        <v>28</v>
      </c>
      <c r="B140" s="17" t="s">
        <v>9</v>
      </c>
      <c r="C140" s="101">
        <v>2</v>
      </c>
      <c r="D140" s="18">
        <f>+D123</f>
        <v>65</v>
      </c>
      <c r="E140" s="15">
        <f t="shared" si="2"/>
        <v>32.5</v>
      </c>
    </row>
    <row r="141" spans="1:5" ht="12.75">
      <c r="A141" s="16" t="s">
        <v>29</v>
      </c>
      <c r="B141" s="17" t="s">
        <v>9</v>
      </c>
      <c r="C141" s="101">
        <v>2</v>
      </c>
      <c r="D141" s="18">
        <f>+D124</f>
        <v>22</v>
      </c>
      <c r="E141" s="15">
        <f t="shared" si="2"/>
        <v>11</v>
      </c>
    </row>
    <row r="142" spans="1:5" ht="12.75">
      <c r="A142" s="16" t="s">
        <v>67</v>
      </c>
      <c r="B142" s="17" t="s">
        <v>45</v>
      </c>
      <c r="C142" s="101">
        <v>2</v>
      </c>
      <c r="D142" s="18">
        <f>+D126</f>
        <v>60</v>
      </c>
      <c r="E142" s="15">
        <f t="shared" si="2"/>
        <v>30</v>
      </c>
    </row>
    <row r="143" spans="1:7" ht="12.75">
      <c r="A143" s="16" t="s">
        <v>66</v>
      </c>
      <c r="B143" s="17" t="s">
        <v>9</v>
      </c>
      <c r="C143" s="101">
        <v>4</v>
      </c>
      <c r="D143" s="18">
        <f>+D128</f>
        <v>190</v>
      </c>
      <c r="E143" s="15">
        <f t="shared" si="2"/>
        <v>47.5</v>
      </c>
      <c r="G143" s="9"/>
    </row>
    <row r="144" spans="1:7" ht="12.75">
      <c r="A144" s="16" t="s">
        <v>60</v>
      </c>
      <c r="B144" s="17" t="s">
        <v>46</v>
      </c>
      <c r="C144" s="101">
        <v>2</v>
      </c>
      <c r="D144" s="18">
        <f>+D131</f>
        <v>17</v>
      </c>
      <c r="E144" s="15">
        <f t="shared" si="2"/>
        <v>8.5</v>
      </c>
      <c r="G144" s="9"/>
    </row>
    <row r="145" spans="1:7" ht="12.75">
      <c r="A145" s="16" t="s">
        <v>199</v>
      </c>
      <c r="B145" s="17" t="s">
        <v>126</v>
      </c>
      <c r="C145" s="121">
        <v>1</v>
      </c>
      <c r="D145" s="87">
        <v>106</v>
      </c>
      <c r="E145" s="18">
        <f>C145*D145</f>
        <v>106</v>
      </c>
      <c r="G145" s="9"/>
    </row>
    <row r="146" spans="1:7" ht="13.5" thickBot="1">
      <c r="A146" s="16" t="s">
        <v>4</v>
      </c>
      <c r="B146" s="17" t="s">
        <v>5</v>
      </c>
      <c r="C146" s="69">
        <f>E35+E36</f>
        <v>1</v>
      </c>
      <c r="D146" s="18">
        <f>+SUM(E139:E145)</f>
        <v>265.5</v>
      </c>
      <c r="E146" s="18">
        <f>C146*D146</f>
        <v>265.5</v>
      </c>
      <c r="G146" s="9"/>
    </row>
    <row r="147" spans="4:7" ht="13.5" thickBot="1">
      <c r="D147" s="123" t="s">
        <v>197</v>
      </c>
      <c r="E147" s="50">
        <f>$B$43</f>
        <v>0.45</v>
      </c>
      <c r="F147" s="124">
        <f>E146*E147</f>
        <v>119.47500000000001</v>
      </c>
      <c r="G147" s="9"/>
    </row>
    <row r="148" ht="11.25" customHeight="1" thickBot="1">
      <c r="G148" s="9"/>
    </row>
    <row r="149" spans="1:7" ht="13.5" thickBot="1">
      <c r="A149" s="24" t="s">
        <v>201</v>
      </c>
      <c r="B149" s="28"/>
      <c r="C149" s="28"/>
      <c r="D149" s="29"/>
      <c r="E149" s="30"/>
      <c r="F149" s="21">
        <f>+F134+F147</f>
        <v>393.07500000000005</v>
      </c>
      <c r="G149" s="9"/>
    </row>
    <row r="150" ht="11.25" customHeight="1">
      <c r="G150" s="9"/>
    </row>
    <row r="151" spans="1:7" ht="12.75">
      <c r="A151" s="11" t="s">
        <v>51</v>
      </c>
      <c r="G151" s="9"/>
    </row>
    <row r="152" spans="2:7" ht="11.25" customHeight="1">
      <c r="B152" s="107"/>
      <c r="G152" s="9"/>
    </row>
    <row r="153" spans="1:7" ht="12.75">
      <c r="A153" s="7" t="s">
        <v>290</v>
      </c>
      <c r="G153" s="9"/>
    </row>
    <row r="154" ht="11.25" customHeight="1">
      <c r="G154" s="9"/>
    </row>
    <row r="155" spans="1:7" ht="13.5" thickBot="1">
      <c r="A155" s="107" t="s">
        <v>43</v>
      </c>
      <c r="G155" s="9"/>
    </row>
    <row r="156" spans="1:7" ht="13.5" thickBot="1">
      <c r="A156" s="60" t="s">
        <v>61</v>
      </c>
      <c r="B156" s="61" t="s">
        <v>62</v>
      </c>
      <c r="C156" s="61" t="s">
        <v>37</v>
      </c>
      <c r="D156" s="62" t="s">
        <v>232</v>
      </c>
      <c r="E156" s="62" t="s">
        <v>63</v>
      </c>
      <c r="F156" s="63" t="s">
        <v>64</v>
      </c>
      <c r="G156" s="9"/>
    </row>
    <row r="157" spans="1:7" ht="12.75">
      <c r="A157" s="13" t="s">
        <v>109</v>
      </c>
      <c r="B157" s="14" t="s">
        <v>9</v>
      </c>
      <c r="C157" s="271">
        <v>1</v>
      </c>
      <c r="D157" s="87">
        <v>272133</v>
      </c>
      <c r="E157" s="15">
        <f>C157*D157</f>
        <v>272133</v>
      </c>
      <c r="G157" s="7"/>
    </row>
    <row r="158" spans="1:7" ht="12.75">
      <c r="A158" s="16" t="s">
        <v>103</v>
      </c>
      <c r="B158" s="17" t="s">
        <v>104</v>
      </c>
      <c r="C158" s="86">
        <v>10</v>
      </c>
      <c r="D158" s="83"/>
      <c r="E158" s="18"/>
      <c r="G158" s="9"/>
    </row>
    <row r="159" spans="1:10" ht="12.75">
      <c r="A159" s="16" t="s">
        <v>207</v>
      </c>
      <c r="B159" s="17" t="s">
        <v>104</v>
      </c>
      <c r="C159" s="86">
        <v>0</v>
      </c>
      <c r="D159" s="18"/>
      <c r="E159" s="18"/>
      <c r="F159" s="20"/>
      <c r="I159" s="85"/>
      <c r="J159" s="85"/>
    </row>
    <row r="160" spans="1:5" ht="12.75">
      <c r="A160" s="16" t="s">
        <v>107</v>
      </c>
      <c r="B160" s="17" t="s">
        <v>1</v>
      </c>
      <c r="C160" s="139">
        <f>_xlfn.IFERROR(VLOOKUP(C158,'5. Depreciação'!A3:B17,2,FALSE),0)</f>
        <v>65.18</v>
      </c>
      <c r="D160" s="18">
        <f>E157</f>
        <v>272133</v>
      </c>
      <c r="E160" s="18">
        <f>C160*D160/100</f>
        <v>177376.2894</v>
      </c>
    </row>
    <row r="161" spans="1:5" ht="13.5" thickBot="1">
      <c r="A161" s="274" t="s">
        <v>47</v>
      </c>
      <c r="B161" s="275" t="s">
        <v>7</v>
      </c>
      <c r="C161" s="275">
        <f>C158*12</f>
        <v>120</v>
      </c>
      <c r="D161" s="276">
        <f>IF(C159&lt;=C158,E160,0)</f>
        <v>177376.2894</v>
      </c>
      <c r="E161" s="276">
        <f>_xlfn.IFERROR(D161/C161,0)</f>
        <v>1478.135745</v>
      </c>
    </row>
    <row r="162" spans="1:7" ht="13.5" thickTop="1">
      <c r="A162" s="13" t="s">
        <v>108</v>
      </c>
      <c r="B162" s="14" t="s">
        <v>9</v>
      </c>
      <c r="C162" s="14">
        <f>C157</f>
        <v>1</v>
      </c>
      <c r="D162" s="87">
        <v>95000</v>
      </c>
      <c r="E162" s="15">
        <f>C162*D162</f>
        <v>95000</v>
      </c>
      <c r="G162" s="9"/>
    </row>
    <row r="163" spans="1:5" ht="12.75">
      <c r="A163" s="16" t="s">
        <v>105</v>
      </c>
      <c r="B163" s="17" t="s">
        <v>104</v>
      </c>
      <c r="C163" s="86">
        <v>10</v>
      </c>
      <c r="D163" s="18"/>
      <c r="E163" s="18"/>
    </row>
    <row r="164" spans="1:10" ht="12.75">
      <c r="A164" s="16" t="s">
        <v>208</v>
      </c>
      <c r="B164" s="17" t="s">
        <v>104</v>
      </c>
      <c r="C164" s="86">
        <v>0</v>
      </c>
      <c r="D164" s="18"/>
      <c r="E164" s="18"/>
      <c r="F164" s="20"/>
      <c r="I164" s="85"/>
      <c r="J164" s="85"/>
    </row>
    <row r="165" spans="1:5" ht="12.75">
      <c r="A165" s="16" t="s">
        <v>106</v>
      </c>
      <c r="B165" s="17" t="s">
        <v>1</v>
      </c>
      <c r="C165" s="140">
        <f>_xlfn.IFERROR(VLOOKUP(C163,'5. Depreciação'!A3:B17,2,FALSE),0)</f>
        <v>65.18</v>
      </c>
      <c r="D165" s="18">
        <f>E162</f>
        <v>95000</v>
      </c>
      <c r="E165" s="18">
        <f>C165*D165/100</f>
        <v>61921.00000000001</v>
      </c>
    </row>
    <row r="166" spans="1:5" ht="12.75">
      <c r="A166" s="103" t="s">
        <v>110</v>
      </c>
      <c r="B166" s="104" t="s">
        <v>7</v>
      </c>
      <c r="C166" s="104">
        <f>C163*12</f>
        <v>120</v>
      </c>
      <c r="D166" s="105">
        <f>IF(C164&lt;=C163,E165,0)</f>
        <v>61921.00000000001</v>
      </c>
      <c r="E166" s="105">
        <f>_xlfn.IFERROR(D166/C166,0)</f>
        <v>516.0083333333334</v>
      </c>
    </row>
    <row r="167" spans="1:5" ht="12.75">
      <c r="A167" s="116" t="s">
        <v>250</v>
      </c>
      <c r="B167" s="117"/>
      <c r="C167" s="117"/>
      <c r="D167" s="118"/>
      <c r="E167" s="119">
        <f>E161+E166</f>
        <v>1994.1440783333335</v>
      </c>
    </row>
    <row r="168" spans="1:5" ht="13.5" thickBot="1">
      <c r="A168" s="103" t="s">
        <v>251</v>
      </c>
      <c r="B168" s="104" t="s">
        <v>9</v>
      </c>
      <c r="C168" s="86">
        <v>1</v>
      </c>
      <c r="D168" s="105">
        <f>E167</f>
        <v>1994.1440783333335</v>
      </c>
      <c r="E168" s="119">
        <f>C168*D168</f>
        <v>1994.1440783333335</v>
      </c>
    </row>
    <row r="169" spans="1:6" ht="13.5" thickBot="1">
      <c r="A169" s="270"/>
      <c r="B169" s="270"/>
      <c r="C169" s="270"/>
      <c r="D169" s="123" t="s">
        <v>197</v>
      </c>
      <c r="E169" s="50">
        <f>$B$43</f>
        <v>0.45</v>
      </c>
      <c r="F169" s="21">
        <f>E168*E169</f>
        <v>897.36483525</v>
      </c>
    </row>
    <row r="170" ht="11.25" customHeight="1"/>
    <row r="171" ht="13.5" thickBot="1">
      <c r="A171" s="107" t="s">
        <v>115</v>
      </c>
    </row>
    <row r="172" spans="1:10" ht="13.5" thickBot="1">
      <c r="A172" s="109" t="s">
        <v>61</v>
      </c>
      <c r="B172" s="110" t="s">
        <v>62</v>
      </c>
      <c r="C172" s="110" t="s">
        <v>37</v>
      </c>
      <c r="D172" s="62" t="s">
        <v>232</v>
      </c>
      <c r="E172" s="111" t="s">
        <v>63</v>
      </c>
      <c r="F172" s="63" t="s">
        <v>64</v>
      </c>
      <c r="I172" s="85"/>
      <c r="J172" s="85"/>
    </row>
    <row r="173" spans="1:10" ht="12.75">
      <c r="A173" s="16" t="s">
        <v>113</v>
      </c>
      <c r="B173" s="17" t="s">
        <v>9</v>
      </c>
      <c r="C173" s="271">
        <v>1</v>
      </c>
      <c r="D173" s="18">
        <f>D157</f>
        <v>272133</v>
      </c>
      <c r="E173" s="18">
        <f>C173*D173</f>
        <v>272133</v>
      </c>
      <c r="F173" s="20"/>
      <c r="I173" s="85"/>
      <c r="J173" s="85"/>
    </row>
    <row r="174" spans="1:10" ht="12.75">
      <c r="A174" s="16" t="s">
        <v>211</v>
      </c>
      <c r="B174" s="17" t="s">
        <v>1</v>
      </c>
      <c r="C174" s="86">
        <v>2</v>
      </c>
      <c r="D174" s="18"/>
      <c r="E174" s="18"/>
      <c r="F174" s="20"/>
      <c r="I174" s="85"/>
      <c r="J174" s="85"/>
    </row>
    <row r="175" spans="1:10" ht="12.75">
      <c r="A175" s="16" t="s">
        <v>209</v>
      </c>
      <c r="B175" s="17" t="s">
        <v>32</v>
      </c>
      <c r="C175" s="147">
        <f>_xlfn.IFERROR(IF(C159&lt;=C158,E157-(C160/(100*C158)*C159)*E157,E157-E160),0)</f>
        <v>272133</v>
      </c>
      <c r="D175" s="18"/>
      <c r="E175" s="18"/>
      <c r="F175" s="20"/>
      <c r="I175" s="85"/>
      <c r="J175" s="85"/>
    </row>
    <row r="176" spans="1:10" ht="12.75">
      <c r="A176" s="16" t="s">
        <v>118</v>
      </c>
      <c r="B176" s="17" t="s">
        <v>32</v>
      </c>
      <c r="C176" s="83">
        <f>_xlfn.IFERROR(IF(C159&gt;=C158,C175,((((C175)-(E157-E160))*(((C158-C159)+1)/(2*(C158-C159))))+(E157-E160))),0)</f>
        <v>192313.66977</v>
      </c>
      <c r="D176" s="18"/>
      <c r="E176" s="18"/>
      <c r="F176" s="20"/>
      <c r="I176" s="85"/>
      <c r="J176" s="85"/>
    </row>
    <row r="177" spans="1:10" ht="13.5" thickBot="1">
      <c r="A177" s="274" t="s">
        <v>119</v>
      </c>
      <c r="B177" s="275" t="s">
        <v>32</v>
      </c>
      <c r="C177" s="275"/>
      <c r="D177" s="277">
        <f>C174*C176/12/100</f>
        <v>320.52278295</v>
      </c>
      <c r="E177" s="276">
        <f>D177</f>
        <v>320.52278295</v>
      </c>
      <c r="F177" s="20"/>
      <c r="I177" s="85"/>
      <c r="J177" s="85"/>
    </row>
    <row r="178" spans="1:10" ht="13.5" thickTop="1">
      <c r="A178" s="13" t="s">
        <v>114</v>
      </c>
      <c r="B178" s="14" t="s">
        <v>9</v>
      </c>
      <c r="C178" s="14">
        <f>C162</f>
        <v>1</v>
      </c>
      <c r="D178" s="15">
        <f>D162</f>
        <v>95000</v>
      </c>
      <c r="E178" s="15">
        <f>C178*D178</f>
        <v>95000</v>
      </c>
      <c r="F178" s="20"/>
      <c r="I178" s="85"/>
      <c r="J178" s="85"/>
    </row>
    <row r="179" spans="1:10" ht="12.75">
      <c r="A179" s="16" t="s">
        <v>211</v>
      </c>
      <c r="B179" s="17" t="s">
        <v>1</v>
      </c>
      <c r="C179" s="272">
        <f>C174</f>
        <v>2</v>
      </c>
      <c r="D179" s="18"/>
      <c r="E179" s="18"/>
      <c r="F179" s="20"/>
      <c r="I179" s="85"/>
      <c r="J179" s="85"/>
    </row>
    <row r="180" spans="1:10" ht="12.75">
      <c r="A180" s="16" t="s">
        <v>210</v>
      </c>
      <c r="B180" s="17" t="s">
        <v>32</v>
      </c>
      <c r="C180" s="147">
        <f>_xlfn.IFERROR(IF(C164&lt;=C163,E162-(C165/(100*C163)*C164)*E162,E162-E165),0)</f>
        <v>95000</v>
      </c>
      <c r="D180" s="18"/>
      <c r="E180" s="18"/>
      <c r="F180" s="20"/>
      <c r="I180" s="85"/>
      <c r="J180" s="85"/>
    </row>
    <row r="181" spans="1:10" ht="12.75">
      <c r="A181" s="16" t="s">
        <v>120</v>
      </c>
      <c r="B181" s="17" t="s">
        <v>32</v>
      </c>
      <c r="C181" s="83">
        <f>_xlfn.IFERROR(IF(C164&gt;=C163,C180,((((C180)-(E162-E165))*(((C163-C164)+1)/(2*(C163-C164))))+(E162-E165))),0)</f>
        <v>67135.55</v>
      </c>
      <c r="D181" s="18"/>
      <c r="E181" s="18"/>
      <c r="F181" s="20"/>
      <c r="I181" s="85"/>
      <c r="J181" s="85"/>
    </row>
    <row r="182" spans="1:10" ht="12.75">
      <c r="A182" s="103" t="s">
        <v>117</v>
      </c>
      <c r="B182" s="104" t="s">
        <v>32</v>
      </c>
      <c r="C182" s="104"/>
      <c r="D182" s="113">
        <f>C179*C181/12/100</f>
        <v>111.89258333333333</v>
      </c>
      <c r="E182" s="105">
        <f>D182</f>
        <v>111.89258333333333</v>
      </c>
      <c r="F182" s="20"/>
      <c r="I182" s="85"/>
      <c r="J182" s="85"/>
    </row>
    <row r="183" spans="1:10" ht="12.75">
      <c r="A183" s="116" t="s">
        <v>250</v>
      </c>
      <c r="B183" s="117"/>
      <c r="C183" s="117"/>
      <c r="D183" s="118"/>
      <c r="E183" s="119">
        <f>E177+E182</f>
        <v>432.41536628333336</v>
      </c>
      <c r="F183" s="20"/>
      <c r="I183" s="85"/>
      <c r="J183" s="85"/>
    </row>
    <row r="184" spans="1:10" ht="13.5" thickBot="1">
      <c r="A184" s="103" t="s">
        <v>251</v>
      </c>
      <c r="B184" s="104" t="s">
        <v>9</v>
      </c>
      <c r="C184" s="272">
        <f>C168</f>
        <v>1</v>
      </c>
      <c r="D184" s="105">
        <f>E183</f>
        <v>432.41536628333336</v>
      </c>
      <c r="E184" s="119">
        <f>C184*D184</f>
        <v>432.41536628333336</v>
      </c>
      <c r="F184" s="20"/>
      <c r="I184" s="85"/>
      <c r="J184" s="85"/>
    </row>
    <row r="185" spans="3:10" ht="13.5" thickBot="1">
      <c r="C185" s="19"/>
      <c r="D185" s="123" t="s">
        <v>197</v>
      </c>
      <c r="E185" s="50">
        <f>$B$43</f>
        <v>0.45</v>
      </c>
      <c r="F185" s="21">
        <f>E184*E185</f>
        <v>194.5869148275</v>
      </c>
      <c r="I185" s="85"/>
      <c r="J185" s="85"/>
    </row>
    <row r="186" spans="9:10" ht="11.25" customHeight="1">
      <c r="I186" s="85"/>
      <c r="J186" s="85"/>
    </row>
    <row r="187" spans="1:10" ht="13.5" thickBot="1">
      <c r="A187" s="9" t="s">
        <v>48</v>
      </c>
      <c r="I187" s="85"/>
      <c r="J187" s="85"/>
    </row>
    <row r="188" spans="1:10" ht="13.5" thickBot="1">
      <c r="A188" s="60" t="s">
        <v>61</v>
      </c>
      <c r="B188" s="61" t="s">
        <v>62</v>
      </c>
      <c r="C188" s="61" t="s">
        <v>37</v>
      </c>
      <c r="D188" s="62" t="s">
        <v>232</v>
      </c>
      <c r="E188" s="62" t="s">
        <v>63</v>
      </c>
      <c r="F188" s="63" t="s">
        <v>64</v>
      </c>
      <c r="I188" s="85"/>
      <c r="J188" s="85"/>
    </row>
    <row r="189" spans="1:10" ht="12.75">
      <c r="A189" s="13" t="s">
        <v>11</v>
      </c>
      <c r="B189" s="14" t="s">
        <v>9</v>
      </c>
      <c r="C189" s="15">
        <f>C168</f>
        <v>1</v>
      </c>
      <c r="D189" s="15">
        <f>0.01*($E$157)</f>
        <v>2721.33</v>
      </c>
      <c r="E189" s="15">
        <f>C189*D189</f>
        <v>2721.33</v>
      </c>
      <c r="I189" s="85"/>
      <c r="J189" s="85"/>
    </row>
    <row r="190" spans="1:10" ht="12.75">
      <c r="A190" s="16" t="s">
        <v>196</v>
      </c>
      <c r="B190" s="17" t="s">
        <v>9</v>
      </c>
      <c r="C190" s="15">
        <f>C168</f>
        <v>1</v>
      </c>
      <c r="D190" s="89">
        <v>96.68</v>
      </c>
      <c r="E190" s="18">
        <f>C190*D190</f>
        <v>96.68</v>
      </c>
      <c r="I190" s="85"/>
      <c r="J190" s="85"/>
    </row>
    <row r="191" spans="1:10" ht="12.75">
      <c r="A191" s="16" t="s">
        <v>12</v>
      </c>
      <c r="B191" s="17" t="s">
        <v>9</v>
      </c>
      <c r="C191" s="15">
        <f>C168</f>
        <v>1</v>
      </c>
      <c r="D191" s="89"/>
      <c r="E191" s="18">
        <f>C191*D191</f>
        <v>0</v>
      </c>
      <c r="F191" s="31"/>
      <c r="G191" s="307"/>
      <c r="H191" s="308"/>
      <c r="I191" s="309"/>
      <c r="J191" s="309"/>
    </row>
    <row r="192" spans="1:10" ht="13.5" thickBot="1">
      <c r="A192" s="103" t="s">
        <v>13</v>
      </c>
      <c r="B192" s="104" t="s">
        <v>7</v>
      </c>
      <c r="C192" s="104">
        <v>12</v>
      </c>
      <c r="D192" s="105">
        <f>SUM(E189:E191)</f>
        <v>2818.0099999999998</v>
      </c>
      <c r="E192" s="105">
        <f>D192/C192</f>
        <v>234.83416666666665</v>
      </c>
      <c r="G192" s="307"/>
      <c r="H192" s="308"/>
      <c r="I192" s="309"/>
      <c r="J192" s="309"/>
    </row>
    <row r="193" spans="4:10" ht="13.5" thickBot="1">
      <c r="D193" s="123" t="s">
        <v>197</v>
      </c>
      <c r="E193" s="50">
        <f>$B$43</f>
        <v>0.45</v>
      </c>
      <c r="F193" s="124">
        <f>E192*E193</f>
        <v>105.67537499999999</v>
      </c>
      <c r="I193" s="85"/>
      <c r="J193" s="85"/>
    </row>
    <row r="194" spans="9:10" ht="11.25" customHeight="1">
      <c r="I194" s="85"/>
      <c r="J194" s="85"/>
    </row>
    <row r="195" spans="1:10" ht="12.75">
      <c r="A195" s="9" t="s">
        <v>49</v>
      </c>
      <c r="B195" s="32"/>
      <c r="I195" s="85"/>
      <c r="J195" s="85"/>
    </row>
    <row r="196" spans="2:10" ht="12.75">
      <c r="B196" s="32"/>
      <c r="I196" s="85"/>
      <c r="J196" s="85"/>
    </row>
    <row r="197" spans="1:10" ht="12.75">
      <c r="A197" s="103" t="s">
        <v>304</v>
      </c>
      <c r="B197" s="313">
        <v>1994.64</v>
      </c>
      <c r="G197" s="307"/>
      <c r="I197" s="85"/>
      <c r="J197" s="85"/>
    </row>
    <row r="198" spans="2:10" ht="13.5" thickBot="1">
      <c r="B198" s="32"/>
      <c r="I198" s="85"/>
      <c r="J198" s="85"/>
    </row>
    <row r="199" spans="1:10" ht="13.5" thickBot="1">
      <c r="A199" s="60" t="s">
        <v>61</v>
      </c>
      <c r="B199" s="61" t="s">
        <v>62</v>
      </c>
      <c r="C199" s="61" t="s">
        <v>249</v>
      </c>
      <c r="D199" s="62" t="s">
        <v>232</v>
      </c>
      <c r="E199" s="62" t="s">
        <v>63</v>
      </c>
      <c r="F199" s="63" t="s">
        <v>64</v>
      </c>
      <c r="I199" s="85"/>
      <c r="J199" s="85"/>
    </row>
    <row r="200" spans="1:10" ht="12.75">
      <c r="A200" s="13" t="s">
        <v>14</v>
      </c>
      <c r="B200" s="14" t="s">
        <v>15</v>
      </c>
      <c r="C200" s="97">
        <v>2.7</v>
      </c>
      <c r="D200" s="98">
        <v>4.15</v>
      </c>
      <c r="E200" s="15"/>
      <c r="I200" s="85"/>
      <c r="J200" s="85"/>
    </row>
    <row r="201" spans="1:10" ht="12.75">
      <c r="A201" s="16" t="s">
        <v>16</v>
      </c>
      <c r="B201" s="17" t="s">
        <v>17</v>
      </c>
      <c r="C201" s="94">
        <f>B197</f>
        <v>1994.64</v>
      </c>
      <c r="D201" s="269">
        <f>_xlfn.IFERROR(+D200/C200,"-")</f>
        <v>1.537037037037037</v>
      </c>
      <c r="E201" s="18">
        <f>_xlfn.IFERROR(C201*D201,"-")</f>
        <v>3065.8355555555554</v>
      </c>
      <c r="I201" s="85"/>
      <c r="J201" s="85"/>
    </row>
    <row r="202" spans="1:10" ht="12.75">
      <c r="A202" s="16" t="s">
        <v>233</v>
      </c>
      <c r="B202" s="17" t="s">
        <v>18</v>
      </c>
      <c r="C202" s="100">
        <v>1.5</v>
      </c>
      <c r="D202" s="89">
        <v>27.5</v>
      </c>
      <c r="E202" s="18"/>
      <c r="G202" s="112"/>
      <c r="H202" s="52"/>
      <c r="I202" s="85"/>
      <c r="J202" s="85"/>
    </row>
    <row r="203" spans="1:10" ht="12.75">
      <c r="A203" s="16" t="s">
        <v>19</v>
      </c>
      <c r="B203" s="17" t="s">
        <v>17</v>
      </c>
      <c r="C203" s="94">
        <f>C201</f>
        <v>1994.64</v>
      </c>
      <c r="D203" s="266">
        <f>+C202*D202/1000</f>
        <v>0.04125</v>
      </c>
      <c r="E203" s="18">
        <f>C203*D203</f>
        <v>82.27890000000001</v>
      </c>
      <c r="G203" s="112"/>
      <c r="H203" s="52"/>
      <c r="I203" s="85"/>
      <c r="J203" s="85"/>
    </row>
    <row r="204" spans="1:10" ht="12.75">
      <c r="A204" s="16" t="s">
        <v>234</v>
      </c>
      <c r="B204" s="17" t="s">
        <v>18</v>
      </c>
      <c r="C204" s="100">
        <v>0.5</v>
      </c>
      <c r="D204" s="89">
        <v>30</v>
      </c>
      <c r="E204" s="18"/>
      <c r="G204" s="112"/>
      <c r="H204" s="52"/>
      <c r="I204" s="85"/>
      <c r="J204" s="85"/>
    </row>
    <row r="205" spans="1:10" ht="12.75">
      <c r="A205" s="16" t="s">
        <v>20</v>
      </c>
      <c r="B205" s="17" t="s">
        <v>17</v>
      </c>
      <c r="C205" s="94">
        <f>C201</f>
        <v>1994.64</v>
      </c>
      <c r="D205" s="266">
        <f>+C204*D204/1000</f>
        <v>0.015</v>
      </c>
      <c r="E205" s="18">
        <f>C205*D205</f>
        <v>29.9196</v>
      </c>
      <c r="G205" s="112"/>
      <c r="H205" s="52"/>
      <c r="I205" s="85"/>
      <c r="J205" s="85"/>
    </row>
    <row r="206" spans="1:10" ht="12.75">
      <c r="A206" s="16" t="s">
        <v>235</v>
      </c>
      <c r="B206" s="17" t="s">
        <v>18</v>
      </c>
      <c r="C206" s="100">
        <v>3</v>
      </c>
      <c r="D206" s="89">
        <v>30</v>
      </c>
      <c r="E206" s="18"/>
      <c r="G206" s="112"/>
      <c r="H206" s="52"/>
      <c r="I206" s="85"/>
      <c r="J206" s="85"/>
    </row>
    <row r="207" spans="1:10" ht="12.75">
      <c r="A207" s="16" t="s">
        <v>21</v>
      </c>
      <c r="B207" s="17" t="s">
        <v>17</v>
      </c>
      <c r="C207" s="94">
        <f>C201</f>
        <v>1994.64</v>
      </c>
      <c r="D207" s="266">
        <f>+C206*D206/1000</f>
        <v>0.09</v>
      </c>
      <c r="E207" s="18">
        <f>C207*D207</f>
        <v>179.51760000000002</v>
      </c>
      <c r="G207" s="112"/>
      <c r="H207" s="52"/>
      <c r="I207" s="85"/>
      <c r="J207" s="85"/>
    </row>
    <row r="208" spans="1:10" ht="12.75">
      <c r="A208" s="16" t="s">
        <v>22</v>
      </c>
      <c r="B208" s="17" t="s">
        <v>23</v>
      </c>
      <c r="C208" s="100">
        <v>0.5</v>
      </c>
      <c r="D208" s="89">
        <v>30</v>
      </c>
      <c r="E208" s="18"/>
      <c r="G208" s="112"/>
      <c r="H208" s="52"/>
      <c r="I208" s="85"/>
      <c r="J208" s="85"/>
    </row>
    <row r="209" spans="1:10" ht="12.75">
      <c r="A209" s="16" t="s">
        <v>24</v>
      </c>
      <c r="B209" s="17" t="s">
        <v>17</v>
      </c>
      <c r="C209" s="94">
        <f>C201</f>
        <v>1994.64</v>
      </c>
      <c r="D209" s="266">
        <f>+C208*D208/1000</f>
        <v>0.015</v>
      </c>
      <c r="E209" s="18">
        <f>C209*D209</f>
        <v>29.9196</v>
      </c>
      <c r="G209" s="112"/>
      <c r="H209" s="52"/>
      <c r="I209" s="85"/>
      <c r="J209" s="85"/>
    </row>
    <row r="210" spans="1:10" ht="13.5" thickBot="1">
      <c r="A210" s="103" t="s">
        <v>248</v>
      </c>
      <c r="B210" s="104" t="s">
        <v>122</v>
      </c>
      <c r="C210" s="267"/>
      <c r="D210" s="268">
        <f>_xlfn.IFERROR(D201+D203+D205+D207+D209,0)</f>
        <v>1.6982870370370369</v>
      </c>
      <c r="E210" s="18"/>
      <c r="G210" s="112"/>
      <c r="H210" s="52"/>
      <c r="I210" s="85"/>
      <c r="J210" s="85"/>
    </row>
    <row r="211" spans="6:10" ht="13.5" thickBot="1">
      <c r="F211" s="21">
        <f>SUM(E200:E209)</f>
        <v>3387.4712555555557</v>
      </c>
      <c r="I211" s="85"/>
      <c r="J211" s="85"/>
    </row>
    <row r="212" spans="9:10" ht="11.25" customHeight="1">
      <c r="I212" s="85"/>
      <c r="J212" s="85"/>
    </row>
    <row r="213" spans="1:10" ht="13.5" thickBot="1">
      <c r="A213" s="9" t="s">
        <v>50</v>
      </c>
      <c r="I213" s="85"/>
      <c r="J213" s="85"/>
    </row>
    <row r="214" spans="1:10" ht="13.5" thickBot="1">
      <c r="A214" s="60" t="s">
        <v>61</v>
      </c>
      <c r="B214" s="61" t="s">
        <v>62</v>
      </c>
      <c r="C214" s="61" t="s">
        <v>37</v>
      </c>
      <c r="D214" s="62" t="s">
        <v>232</v>
      </c>
      <c r="E214" s="62" t="s">
        <v>63</v>
      </c>
      <c r="F214" s="63" t="s">
        <v>64</v>
      </c>
      <c r="I214" s="85"/>
      <c r="J214" s="85"/>
    </row>
    <row r="215" spans="1:10" ht="13.5" thickBot="1">
      <c r="A215" s="13" t="s">
        <v>121</v>
      </c>
      <c r="B215" s="14" t="s">
        <v>122</v>
      </c>
      <c r="C215" s="94">
        <f>C201</f>
        <v>1994.64</v>
      </c>
      <c r="D215" s="306">
        <v>0.74</v>
      </c>
      <c r="E215" s="15">
        <f>C215*D215</f>
        <v>1476.0336</v>
      </c>
      <c r="I215" s="85"/>
      <c r="J215" s="85"/>
    </row>
    <row r="216" spans="6:10" ht="13.5" thickBot="1">
      <c r="F216" s="21">
        <f>E215</f>
        <v>1476.0336</v>
      </c>
      <c r="I216" s="85"/>
      <c r="J216" s="85"/>
    </row>
    <row r="217" spans="9:10" ht="11.25" customHeight="1">
      <c r="I217" s="85"/>
      <c r="J217" s="85"/>
    </row>
    <row r="218" spans="1:10" ht="13.5" thickBot="1">
      <c r="A218" s="9" t="s">
        <v>59</v>
      </c>
      <c r="I218" s="85"/>
      <c r="J218" s="85"/>
    </row>
    <row r="219" spans="1:10" ht="13.5" thickBot="1">
      <c r="A219" s="60" t="s">
        <v>61</v>
      </c>
      <c r="B219" s="61" t="s">
        <v>62</v>
      </c>
      <c r="C219" s="61" t="s">
        <v>37</v>
      </c>
      <c r="D219" s="62" t="s">
        <v>232</v>
      </c>
      <c r="E219" s="62" t="s">
        <v>63</v>
      </c>
      <c r="F219" s="63" t="s">
        <v>64</v>
      </c>
      <c r="I219" s="85"/>
      <c r="J219" s="85"/>
    </row>
    <row r="220" spans="1:10" ht="12.75">
      <c r="A220" s="300" t="s">
        <v>297</v>
      </c>
      <c r="B220" s="14" t="s">
        <v>9</v>
      </c>
      <c r="C220" s="96">
        <v>6</v>
      </c>
      <c r="D220" s="87">
        <v>1900</v>
      </c>
      <c r="E220" s="15">
        <f>C220*D220</f>
        <v>11400</v>
      </c>
      <c r="I220" s="85"/>
      <c r="J220" s="85"/>
    </row>
    <row r="221" spans="1:10" ht="12.75">
      <c r="A221" s="13" t="s">
        <v>123</v>
      </c>
      <c r="B221" s="14" t="s">
        <v>9</v>
      </c>
      <c r="C221" s="96">
        <v>1</v>
      </c>
      <c r="D221" s="106"/>
      <c r="E221" s="15"/>
      <c r="I221" s="85"/>
      <c r="J221" s="85"/>
    </row>
    <row r="222" spans="1:10" ht="12.75">
      <c r="A222" s="13" t="s">
        <v>68</v>
      </c>
      <c r="B222" s="14" t="s">
        <v>9</v>
      </c>
      <c r="C222" s="15">
        <f>C220*C221</f>
        <v>6</v>
      </c>
      <c r="D222" s="87">
        <v>700</v>
      </c>
      <c r="E222" s="15">
        <f>C222*D222</f>
        <v>4200</v>
      </c>
      <c r="I222" s="85"/>
      <c r="J222" s="85"/>
    </row>
    <row r="223" spans="1:10" ht="12.75">
      <c r="A223" s="16" t="s">
        <v>95</v>
      </c>
      <c r="B223" s="17" t="s">
        <v>25</v>
      </c>
      <c r="C223" s="99">
        <v>45000</v>
      </c>
      <c r="D223" s="18">
        <f>E220+E222</f>
        <v>15600</v>
      </c>
      <c r="E223" s="18">
        <f>_xlfn.IFERROR(D223/C223,"-")</f>
        <v>0.3466666666666667</v>
      </c>
      <c r="I223" s="85"/>
      <c r="J223" s="85"/>
    </row>
    <row r="224" spans="1:10" ht="13.5" thickBot="1">
      <c r="A224" s="16" t="s">
        <v>52</v>
      </c>
      <c r="B224" s="17" t="s">
        <v>17</v>
      </c>
      <c r="C224" s="311">
        <f>B197</f>
        <v>1994.64</v>
      </c>
      <c r="D224" s="18">
        <f>E223</f>
        <v>0.3466666666666667</v>
      </c>
      <c r="E224" s="18">
        <f>_xlfn.IFERROR(C224*D224,0)</f>
        <v>691.4752000000001</v>
      </c>
      <c r="I224" s="85"/>
      <c r="J224" s="85"/>
    </row>
    <row r="225" spans="6:10" ht="13.5" thickBot="1">
      <c r="F225" s="21">
        <f>E224</f>
        <v>691.4752000000001</v>
      </c>
      <c r="I225" s="85"/>
      <c r="J225" s="85"/>
    </row>
    <row r="226" spans="9:10" ht="11.25" customHeight="1">
      <c r="I226" s="85"/>
      <c r="J226" s="85"/>
    </row>
    <row r="227" ht="11.25" customHeight="1" thickBot="1">
      <c r="G227" s="9"/>
    </row>
    <row r="228" spans="1:7" ht="13.5" thickBot="1">
      <c r="A228" s="24" t="s">
        <v>220</v>
      </c>
      <c r="B228" s="25"/>
      <c r="C228" s="25"/>
      <c r="D228" s="26"/>
      <c r="E228" s="27"/>
      <c r="F228" s="21">
        <f>+SUM(F157:F227)</f>
        <v>6752.607180633056</v>
      </c>
      <c r="G228" s="9"/>
    </row>
    <row r="229" ht="11.25" customHeight="1">
      <c r="G229" s="9"/>
    </row>
    <row r="230" spans="1:7" ht="12.75">
      <c r="A230" s="34" t="s">
        <v>72</v>
      </c>
      <c r="B230" s="34"/>
      <c r="C230" s="34"/>
      <c r="D230" s="35"/>
      <c r="E230" s="35"/>
      <c r="F230" s="33"/>
      <c r="G230" s="9"/>
    </row>
    <row r="231" ht="11.25" customHeight="1" thickBot="1">
      <c r="G231" s="9"/>
    </row>
    <row r="232" spans="1:7" ht="13.5" thickBot="1">
      <c r="A232" s="60" t="s">
        <v>61</v>
      </c>
      <c r="B232" s="61" t="s">
        <v>62</v>
      </c>
      <c r="C232" s="61" t="s">
        <v>37</v>
      </c>
      <c r="D232" s="62" t="s">
        <v>232</v>
      </c>
      <c r="E232" s="62" t="s">
        <v>63</v>
      </c>
      <c r="F232" s="63" t="s">
        <v>64</v>
      </c>
      <c r="G232" s="9"/>
    </row>
    <row r="233" spans="1:7" ht="12.75">
      <c r="A233" s="16" t="s">
        <v>69</v>
      </c>
      <c r="B233" s="17" t="s">
        <v>9</v>
      </c>
      <c r="C233" s="101">
        <v>0.16666666666666666</v>
      </c>
      <c r="D233" s="87">
        <v>45</v>
      </c>
      <c r="E233" s="18">
        <f>C233*D233</f>
        <v>7.5</v>
      </c>
      <c r="F233" s="55"/>
      <c r="G233" s="9"/>
    </row>
    <row r="234" spans="1:7" ht="12.75">
      <c r="A234" s="16" t="s">
        <v>26</v>
      </c>
      <c r="B234" s="17" t="s">
        <v>9</v>
      </c>
      <c r="C234" s="101">
        <v>0.16666666666666666</v>
      </c>
      <c r="D234" s="87">
        <v>30</v>
      </c>
      <c r="E234" s="18">
        <f>C234*D234</f>
        <v>5</v>
      </c>
      <c r="F234" s="55"/>
      <c r="G234" s="9"/>
    </row>
    <row r="235" spans="1:7" ht="12.75">
      <c r="A235" s="16" t="s">
        <v>27</v>
      </c>
      <c r="B235" s="17" t="s">
        <v>9</v>
      </c>
      <c r="C235" s="101">
        <v>1</v>
      </c>
      <c r="D235" s="87">
        <v>22</v>
      </c>
      <c r="E235" s="18">
        <f>C235*D235</f>
        <v>22</v>
      </c>
      <c r="F235" s="55"/>
      <c r="G235" s="9"/>
    </row>
    <row r="236" spans="1:7" ht="12.75">
      <c r="A236" s="16" t="s">
        <v>54</v>
      </c>
      <c r="B236" s="17" t="s">
        <v>55</v>
      </c>
      <c r="C236" s="101">
        <v>0.08333333333333333</v>
      </c>
      <c r="D236" s="87">
        <v>150</v>
      </c>
      <c r="E236" s="18">
        <f>C236*D236</f>
        <v>12.5</v>
      </c>
      <c r="F236" s="55"/>
      <c r="G236" s="9"/>
    </row>
    <row r="237" spans="1:7" ht="13.5" thickBot="1">
      <c r="A237" s="16" t="s">
        <v>57</v>
      </c>
      <c r="B237" s="17" t="s">
        <v>55</v>
      </c>
      <c r="C237" s="101">
        <v>0.08333333333333333</v>
      </c>
      <c r="D237" s="87">
        <v>50</v>
      </c>
      <c r="E237" s="18">
        <f>C237*D237</f>
        <v>4.166666666666666</v>
      </c>
      <c r="F237" s="55"/>
      <c r="G237" s="9"/>
    </row>
    <row r="238" spans="1:7" ht="13.5" thickBot="1">
      <c r="A238" s="34"/>
      <c r="B238" s="34"/>
      <c r="C238" s="34"/>
      <c r="D238" s="34"/>
      <c r="E238" s="35"/>
      <c r="F238" s="21">
        <f>SUM(E233:E237)</f>
        <v>51.166666666666664</v>
      </c>
      <c r="G238" s="9"/>
    </row>
    <row r="239" ht="11.25" customHeight="1" thickBot="1">
      <c r="G239" s="9"/>
    </row>
    <row r="240" spans="1:7" ht="13.5" thickBot="1">
      <c r="A240" s="24" t="s">
        <v>221</v>
      </c>
      <c r="B240" s="25"/>
      <c r="C240" s="25"/>
      <c r="D240" s="26"/>
      <c r="E240" s="27"/>
      <c r="F240" s="21">
        <f>+F238</f>
        <v>51.166666666666664</v>
      </c>
      <c r="G240" s="9"/>
    </row>
    <row r="241" ht="11.25" customHeight="1">
      <c r="G241" s="9"/>
    </row>
    <row r="242" spans="1:6" ht="12.75">
      <c r="A242" s="34" t="s">
        <v>73</v>
      </c>
      <c r="B242" s="34"/>
      <c r="C242" s="34"/>
      <c r="D242" s="35"/>
      <c r="E242" s="35"/>
      <c r="F242" s="33"/>
    </row>
    <row r="243" ht="11.25" customHeight="1" thickBot="1"/>
    <row r="244" spans="1:6" ht="13.5" thickBot="1">
      <c r="A244" s="60" t="s">
        <v>61</v>
      </c>
      <c r="B244" s="61" t="s">
        <v>62</v>
      </c>
      <c r="C244" s="61" t="s">
        <v>37</v>
      </c>
      <c r="D244" s="62" t="s">
        <v>232</v>
      </c>
      <c r="E244" s="62" t="s">
        <v>63</v>
      </c>
      <c r="F244" s="63" t="s">
        <v>64</v>
      </c>
    </row>
    <row r="245" spans="1:6" ht="12.75">
      <c r="A245" s="16" t="s">
        <v>218</v>
      </c>
      <c r="B245" s="53" t="s">
        <v>55</v>
      </c>
      <c r="C245" s="69">
        <f>C157</f>
        <v>1</v>
      </c>
      <c r="D245" s="89"/>
      <c r="E245" s="18">
        <f>+D245*C245</f>
        <v>0</v>
      </c>
      <c r="F245" s="55"/>
    </row>
    <row r="246" spans="1:6" ht="12.75">
      <c r="A246" s="16" t="s">
        <v>58</v>
      </c>
      <c r="B246" s="53" t="s">
        <v>7</v>
      </c>
      <c r="C246" s="153">
        <v>60</v>
      </c>
      <c r="D246" s="80">
        <f>SUM(E245:E245)</f>
        <v>0</v>
      </c>
      <c r="E246" s="80">
        <f>+D246/C246</f>
        <v>0</v>
      </c>
      <c r="F246" s="55"/>
    </row>
    <row r="247" spans="1:6" ht="12.75">
      <c r="A247" s="16" t="s">
        <v>219</v>
      </c>
      <c r="B247" s="17" t="s">
        <v>9</v>
      </c>
      <c r="C247" s="69">
        <f>+C245</f>
        <v>1</v>
      </c>
      <c r="D247" s="89"/>
      <c r="E247" s="18">
        <f>C247*D247</f>
        <v>0</v>
      </c>
      <c r="F247" s="55"/>
    </row>
    <row r="248" spans="1:6" ht="13.5" thickBot="1">
      <c r="A248" s="16" t="s">
        <v>34</v>
      </c>
      <c r="B248" s="53" t="s">
        <v>7</v>
      </c>
      <c r="C248" s="153">
        <v>1</v>
      </c>
      <c r="D248" s="80">
        <f>+E247</f>
        <v>0</v>
      </c>
      <c r="E248" s="80">
        <f>+D248/C248</f>
        <v>0</v>
      </c>
      <c r="F248" s="55"/>
    </row>
    <row r="249" spans="1:6" ht="13.5" thickBot="1">
      <c r="A249" s="81"/>
      <c r="B249" s="81"/>
      <c r="C249" s="81"/>
      <c r="D249" s="123" t="s">
        <v>197</v>
      </c>
      <c r="E249" s="50">
        <f>$B$43</f>
        <v>0.45</v>
      </c>
      <c r="F249" s="82">
        <f>(E246+E248)*E249</f>
        <v>0</v>
      </c>
    </row>
    <row r="250" spans="1:7" s="51" customFormat="1" ht="11.25" customHeight="1" thickBot="1">
      <c r="A250" s="9"/>
      <c r="B250" s="9"/>
      <c r="C250" s="9"/>
      <c r="D250" s="10"/>
      <c r="E250" s="10"/>
      <c r="F250" s="10"/>
      <c r="G250" s="84"/>
    </row>
    <row r="251" spans="1:6" ht="13.5" thickBot="1">
      <c r="A251" s="24" t="s">
        <v>217</v>
      </c>
      <c r="B251" s="25"/>
      <c r="C251" s="25"/>
      <c r="D251" s="26"/>
      <c r="E251" s="27"/>
      <c r="F251" s="21">
        <f>+F249</f>
        <v>0</v>
      </c>
    </row>
    <row r="252" ht="11.25" customHeight="1" thickBot="1"/>
    <row r="253" spans="1:6" ht="17.25" customHeight="1" thickBot="1">
      <c r="A253" s="24" t="s">
        <v>222</v>
      </c>
      <c r="B253" s="28"/>
      <c r="C253" s="28"/>
      <c r="D253" s="29"/>
      <c r="E253" s="30"/>
      <c r="F253" s="22">
        <f>+F115+F149+F228+F240+F251</f>
        <v>11154.106269153324</v>
      </c>
    </row>
    <row r="254" ht="11.25" customHeight="1"/>
    <row r="255" ht="12.75">
      <c r="A255" s="11" t="s">
        <v>88</v>
      </c>
    </row>
    <row r="256" ht="11.25" customHeight="1" thickBot="1"/>
    <row r="257" spans="1:6" ht="13.5" thickBot="1">
      <c r="A257" s="60" t="s">
        <v>61</v>
      </c>
      <c r="B257" s="61" t="s">
        <v>62</v>
      </c>
      <c r="C257" s="61" t="s">
        <v>37</v>
      </c>
      <c r="D257" s="62" t="s">
        <v>232</v>
      </c>
      <c r="E257" s="62" t="s">
        <v>63</v>
      </c>
      <c r="F257" s="63" t="s">
        <v>64</v>
      </c>
    </row>
    <row r="258" spans="1:5" ht="13.5" thickBot="1">
      <c r="A258" s="13" t="s">
        <v>33</v>
      </c>
      <c r="B258" s="14" t="s">
        <v>1</v>
      </c>
      <c r="C258" s="139">
        <f>'4.BDI'!C14*100</f>
        <v>27.68</v>
      </c>
      <c r="D258" s="15">
        <f>+F253</f>
        <v>11154.106269153324</v>
      </c>
      <c r="E258" s="15">
        <f>C258*D258/100</f>
        <v>3087.4566153016403</v>
      </c>
    </row>
    <row r="259" ht="13.5" thickBot="1">
      <c r="F259" s="21">
        <f>+E258</f>
        <v>3087.4566153016403</v>
      </c>
    </row>
    <row r="260" ht="11.25" customHeight="1" thickBot="1"/>
    <row r="261" spans="1:6" ht="13.5" thickBot="1">
      <c r="A261" s="24" t="s">
        <v>237</v>
      </c>
      <c r="B261" s="28"/>
      <c r="C261" s="28"/>
      <c r="D261" s="29"/>
      <c r="E261" s="30"/>
      <c r="F261" s="22">
        <f>F259</f>
        <v>3087.4566153016403</v>
      </c>
    </row>
    <row r="262" spans="1:6" ht="12.75">
      <c r="A262" s="34"/>
      <c r="B262" s="34"/>
      <c r="C262" s="34"/>
      <c r="D262" s="35"/>
      <c r="E262" s="35"/>
      <c r="F262" s="33"/>
    </row>
    <row r="263" ht="11.25" customHeight="1" thickBot="1"/>
    <row r="264" spans="1:6" ht="24.75" customHeight="1" thickBot="1">
      <c r="A264" s="24" t="s">
        <v>223</v>
      </c>
      <c r="B264" s="28"/>
      <c r="C264" s="28"/>
      <c r="D264" s="29"/>
      <c r="E264" s="30"/>
      <c r="F264" s="22">
        <f>F253+F261</f>
        <v>14241.562884454965</v>
      </c>
    </row>
    <row r="265" spans="1:6" ht="12" customHeight="1">
      <c r="A265" s="56"/>
      <c r="B265" s="56"/>
      <c r="C265" s="56"/>
      <c r="D265" s="57"/>
      <c r="E265" s="57"/>
      <c r="F265" s="57"/>
    </row>
    <row r="266" spans="1:5" ht="14.25">
      <c r="A266" s="8"/>
      <c r="B266" s="8"/>
      <c r="C266" s="8"/>
      <c r="D266" s="36"/>
      <c r="E266" s="36"/>
    </row>
    <row r="267" ht="13.5" thickBot="1"/>
    <row r="268" spans="1:6" ht="25.5" customHeight="1" thickBot="1">
      <c r="A268" s="24" t="s">
        <v>289</v>
      </c>
      <c r="B268" s="25"/>
      <c r="C268" s="25"/>
      <c r="D268" s="26"/>
      <c r="E268" s="250" t="s">
        <v>32</v>
      </c>
      <c r="F268" s="251">
        <f>F264/B197</f>
        <v>7.139916418228334</v>
      </c>
    </row>
    <row r="269" spans="1:7" s="4" customFormat="1" ht="15" customHeight="1">
      <c r="A269" s="39"/>
      <c r="B269" s="10"/>
      <c r="C269" s="10"/>
      <c r="D269" s="10"/>
      <c r="E269" s="10"/>
      <c r="F269" s="10"/>
      <c r="G269" s="6"/>
    </row>
    <row r="270" spans="1:6" ht="15">
      <c r="A270" s="315" t="s">
        <v>291</v>
      </c>
      <c r="B270" s="315"/>
      <c r="C270" s="315"/>
      <c r="D270" s="315"/>
      <c r="E270" s="315"/>
      <c r="F270" s="315"/>
    </row>
    <row r="271" spans="1:6" ht="30" customHeight="1">
      <c r="A271" s="316" t="s">
        <v>293</v>
      </c>
      <c r="B271" s="316"/>
      <c r="C271" s="316"/>
      <c r="D271" s="316"/>
      <c r="E271" s="316"/>
      <c r="F271" s="316"/>
    </row>
    <row r="272" spans="1:6" ht="75.75" customHeight="1">
      <c r="A272" s="316" t="s">
        <v>300</v>
      </c>
      <c r="B272" s="316"/>
      <c r="C272" s="316"/>
      <c r="D272" s="316"/>
      <c r="E272" s="316"/>
      <c r="F272" s="316"/>
    </row>
    <row r="273" spans="1:6" ht="15" customHeight="1">
      <c r="A273" s="316" t="s">
        <v>292</v>
      </c>
      <c r="B273" s="316"/>
      <c r="C273" s="316"/>
      <c r="D273" s="316"/>
      <c r="E273" s="316"/>
      <c r="F273" s="316"/>
    </row>
    <row r="274" spans="1:6" ht="30" customHeight="1">
      <c r="A274" s="314" t="s">
        <v>294</v>
      </c>
      <c r="B274" s="314"/>
      <c r="C274" s="314"/>
      <c r="D274" s="314"/>
      <c r="E274" s="314"/>
      <c r="F274" s="314"/>
    </row>
    <row r="275" spans="1:6" ht="30" customHeight="1">
      <c r="A275" s="314" t="s">
        <v>298</v>
      </c>
      <c r="B275" s="314"/>
      <c r="C275" s="314"/>
      <c r="D275" s="314"/>
      <c r="E275" s="314"/>
      <c r="F275" s="314"/>
    </row>
    <row r="276" spans="1:6" ht="15" customHeight="1">
      <c r="A276" s="314" t="s">
        <v>295</v>
      </c>
      <c r="B276" s="314"/>
      <c r="C276" s="314"/>
      <c r="D276" s="314"/>
      <c r="E276" s="314"/>
      <c r="F276" s="314"/>
    </row>
    <row r="277" spans="1:6" ht="15">
      <c r="A277" s="315" t="s">
        <v>296</v>
      </c>
      <c r="B277" s="315"/>
      <c r="C277" s="315"/>
      <c r="D277" s="315"/>
      <c r="E277" s="315"/>
      <c r="F277" s="315"/>
    </row>
    <row r="278" spans="1:6" ht="30" customHeight="1">
      <c r="A278" s="316" t="s">
        <v>299</v>
      </c>
      <c r="B278" s="316"/>
      <c r="C278" s="316"/>
      <c r="D278" s="316"/>
      <c r="E278" s="316"/>
      <c r="F278" s="316"/>
    </row>
    <row r="295" spans="4:7" ht="9" customHeight="1">
      <c r="D295" s="9"/>
      <c r="E295" s="9"/>
      <c r="F295" s="9"/>
      <c r="G295" s="9"/>
    </row>
  </sheetData>
  <sheetProtection/>
  <mergeCells count="16">
    <mergeCell ref="A39:D39"/>
    <mergeCell ref="A16:C16"/>
    <mergeCell ref="A3:F3"/>
    <mergeCell ref="A4:F4"/>
    <mergeCell ref="A32:D32"/>
    <mergeCell ref="A6:F6"/>
    <mergeCell ref="A31:E31"/>
    <mergeCell ref="A275:F275"/>
    <mergeCell ref="A276:F276"/>
    <mergeCell ref="A277:F277"/>
    <mergeCell ref="A278:F278"/>
    <mergeCell ref="A270:F270"/>
    <mergeCell ref="A271:F271"/>
    <mergeCell ref="A272:F272"/>
    <mergeCell ref="A273:F273"/>
    <mergeCell ref="A274:F274"/>
  </mergeCells>
  <hyperlinks>
    <hyperlink ref="A171" location="AbaRemun" display="3.1.2. Remuneração do Capital"/>
    <hyperlink ref="A155" location="AbaDeprec" display="3.1.1. Depreciação"/>
  </hyperlink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3"/>
  <headerFooter alignWithMargins="0">
    <oddFooter>&amp;R&amp;P de &amp;N</oddFooter>
  </headerFooter>
  <rowBreaks count="4" manualBreakCount="4">
    <brk id="68" max="5" man="1"/>
    <brk id="116" max="5" man="1"/>
    <brk id="170" max="5" man="1"/>
    <brk id="22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13.57421875" style="1" customWidth="1"/>
    <col min="2" max="2" width="39.57421875" style="1" bestFit="1" customWidth="1"/>
    <col min="3" max="3" width="14.57421875" style="1" customWidth="1"/>
    <col min="4" max="4" width="37.28125" style="156" customWidth="1"/>
    <col min="5" max="10" width="9.140625" style="1" customWidth="1"/>
    <col min="11" max="11" width="11.00390625" style="1" bestFit="1" customWidth="1"/>
    <col min="12" max="16384" width="9.140625" style="1" customWidth="1"/>
  </cols>
  <sheetData>
    <row r="1" ht="12.75">
      <c r="A1" s="11" t="s">
        <v>204</v>
      </c>
    </row>
    <row r="2" ht="12.75">
      <c r="A2" s="138" t="s">
        <v>243</v>
      </c>
    </row>
    <row r="3" ht="13.5" thickBot="1"/>
    <row r="4" spans="1:6" ht="18">
      <c r="A4" s="333" t="s">
        <v>226</v>
      </c>
      <c r="B4" s="334"/>
      <c r="C4" s="335"/>
      <c r="D4" s="148"/>
      <c r="E4" s="148"/>
      <c r="F4" s="148"/>
    </row>
    <row r="5" spans="1:4" ht="14.25">
      <c r="A5" s="167" t="s">
        <v>143</v>
      </c>
      <c r="B5" s="168" t="s">
        <v>144</v>
      </c>
      <c r="C5" s="169" t="s">
        <v>145</v>
      </c>
      <c r="D5" s="170"/>
    </row>
    <row r="6" spans="1:12" ht="14.25">
      <c r="A6" s="167" t="s">
        <v>146</v>
      </c>
      <c r="B6" s="168" t="s">
        <v>38</v>
      </c>
      <c r="C6" s="171">
        <v>0.2</v>
      </c>
      <c r="D6" s="170"/>
      <c r="F6" s="156"/>
      <c r="G6" s="156"/>
      <c r="H6" s="156"/>
      <c r="I6" s="156"/>
      <c r="J6" s="156"/>
      <c r="K6" s="156"/>
      <c r="L6" s="156"/>
    </row>
    <row r="7" spans="1:12" ht="14.25">
      <c r="A7" s="167" t="s">
        <v>147</v>
      </c>
      <c r="B7" s="168" t="s">
        <v>148</v>
      </c>
      <c r="C7" s="171">
        <v>0.015</v>
      </c>
      <c r="D7" s="170"/>
      <c r="F7" s="156"/>
      <c r="G7" s="156"/>
      <c r="H7" s="156"/>
      <c r="I7" s="156"/>
      <c r="J7" s="156"/>
      <c r="K7" s="156"/>
      <c r="L7" s="156"/>
    </row>
    <row r="8" spans="1:12" ht="14.25">
      <c r="A8" s="167" t="s">
        <v>149</v>
      </c>
      <c r="B8" s="168" t="s">
        <v>150</v>
      </c>
      <c r="C8" s="171">
        <v>0.01</v>
      </c>
      <c r="D8" s="170"/>
      <c r="F8" s="156"/>
      <c r="G8" s="156"/>
      <c r="H8" s="156"/>
      <c r="I8" s="156"/>
      <c r="J8" s="156"/>
      <c r="K8" s="156"/>
      <c r="L8" s="156"/>
    </row>
    <row r="9" spans="1:12" ht="14.25">
      <c r="A9" s="167" t="s">
        <v>151</v>
      </c>
      <c r="B9" s="168" t="s">
        <v>152</v>
      </c>
      <c r="C9" s="171">
        <v>0.002</v>
      </c>
      <c r="D9" s="170"/>
      <c r="F9" s="156"/>
      <c r="G9" s="156"/>
      <c r="H9" s="156"/>
      <c r="I9" s="156"/>
      <c r="J9" s="156"/>
      <c r="K9" s="156"/>
      <c r="L9" s="156"/>
    </row>
    <row r="10" spans="1:12" ht="14.25">
      <c r="A10" s="167" t="s">
        <v>153</v>
      </c>
      <c r="B10" s="168" t="s">
        <v>154</v>
      </c>
      <c r="C10" s="171">
        <v>0.006</v>
      </c>
      <c r="D10" s="170"/>
      <c r="F10" s="156"/>
      <c r="G10" s="156"/>
      <c r="H10" s="156"/>
      <c r="I10" s="156"/>
      <c r="J10" s="156"/>
      <c r="K10" s="156"/>
      <c r="L10" s="156"/>
    </row>
    <row r="11" spans="1:12" ht="14.25">
      <c r="A11" s="167" t="s">
        <v>155</v>
      </c>
      <c r="B11" s="168" t="s">
        <v>156</v>
      </c>
      <c r="C11" s="171">
        <v>0.025</v>
      </c>
      <c r="D11" s="170"/>
      <c r="F11" s="156"/>
      <c r="G11" s="156"/>
      <c r="H11" s="156"/>
      <c r="I11" s="156"/>
      <c r="J11" s="156"/>
      <c r="K11" s="156"/>
      <c r="L11" s="156"/>
    </row>
    <row r="12" spans="1:12" ht="14.25">
      <c r="A12" s="167" t="s">
        <v>157</v>
      </c>
      <c r="B12" s="168" t="s">
        <v>158</v>
      </c>
      <c r="C12" s="171">
        <v>0.03</v>
      </c>
      <c r="D12" s="170"/>
      <c r="F12" s="156"/>
      <c r="G12" s="156"/>
      <c r="H12" s="156"/>
      <c r="I12" s="156"/>
      <c r="J12" s="156"/>
      <c r="K12" s="156"/>
      <c r="L12" s="156"/>
    </row>
    <row r="13" spans="1:12" ht="14.25">
      <c r="A13" s="167" t="s">
        <v>159</v>
      </c>
      <c r="B13" s="168" t="s">
        <v>39</v>
      </c>
      <c r="C13" s="171">
        <v>0.08</v>
      </c>
      <c r="D13" s="172"/>
      <c r="F13" s="156"/>
      <c r="G13" s="156"/>
      <c r="H13" s="156"/>
      <c r="I13" s="156"/>
      <c r="J13" s="156"/>
      <c r="K13" s="156"/>
      <c r="L13" s="156"/>
    </row>
    <row r="14" spans="1:12" ht="15">
      <c r="A14" s="167" t="s">
        <v>160</v>
      </c>
      <c r="B14" s="173" t="s">
        <v>161</v>
      </c>
      <c r="C14" s="174">
        <f>SUM(C6:C13)</f>
        <v>0.36800000000000005</v>
      </c>
      <c r="D14" s="172"/>
      <c r="F14" s="156"/>
      <c r="G14" s="156"/>
      <c r="H14" s="156"/>
      <c r="I14" s="156"/>
      <c r="J14" s="156"/>
      <c r="K14" s="156"/>
      <c r="L14" s="156"/>
    </row>
    <row r="15" spans="1:12" ht="15">
      <c r="A15" s="175"/>
      <c r="B15" s="176"/>
      <c r="C15" s="177"/>
      <c r="D15" s="172"/>
      <c r="F15" s="156"/>
      <c r="G15" s="156"/>
      <c r="H15" s="156"/>
      <c r="I15" s="156"/>
      <c r="J15" s="156"/>
      <c r="K15" s="156"/>
      <c r="L15" s="156"/>
    </row>
    <row r="16" spans="1:12" ht="14.25">
      <c r="A16" s="167" t="s">
        <v>162</v>
      </c>
      <c r="B16" s="178" t="s">
        <v>163</v>
      </c>
      <c r="C16" s="171">
        <f>ROUND(IF('3.CAGED'!C24&gt;24,(1-12/'3.CAGED'!C24)*0.1111,0.1111-C25),4)</f>
        <v>0.0619</v>
      </c>
      <c r="D16" s="172"/>
      <c r="F16" s="156"/>
      <c r="G16" s="156"/>
      <c r="H16" s="156"/>
      <c r="I16" s="156"/>
      <c r="J16" s="156"/>
      <c r="K16" s="156"/>
      <c r="L16" s="156"/>
    </row>
    <row r="17" spans="1:12" ht="14.25">
      <c r="A17" s="167" t="s">
        <v>164</v>
      </c>
      <c r="B17" s="178" t="s">
        <v>165</v>
      </c>
      <c r="C17" s="171">
        <f>ROUND('3.CAGED'!C28/'3.CAGED'!C25,4)</f>
        <v>0.0833</v>
      </c>
      <c r="D17" s="172"/>
      <c r="F17" s="156"/>
      <c r="G17" s="156"/>
      <c r="H17" s="156"/>
      <c r="I17" s="156"/>
      <c r="J17" s="156"/>
      <c r="K17" s="156"/>
      <c r="L17" s="156"/>
    </row>
    <row r="18" spans="1:12" ht="14.25">
      <c r="A18" s="167" t="s">
        <v>215</v>
      </c>
      <c r="B18" s="178" t="s">
        <v>167</v>
      </c>
      <c r="C18" s="171">
        <v>0.0006</v>
      </c>
      <c r="D18" s="172"/>
      <c r="F18" s="156"/>
      <c r="G18" s="156"/>
      <c r="H18" s="156"/>
      <c r="I18" s="156"/>
      <c r="J18" s="156"/>
      <c r="K18" s="156"/>
      <c r="L18" s="156"/>
    </row>
    <row r="19" spans="1:12" ht="14.25">
      <c r="A19" s="167" t="s">
        <v>166</v>
      </c>
      <c r="B19" s="178" t="s">
        <v>169</v>
      </c>
      <c r="C19" s="171">
        <v>0.0082</v>
      </c>
      <c r="D19" s="172"/>
      <c r="F19" s="156"/>
      <c r="G19" s="156"/>
      <c r="H19" s="156"/>
      <c r="I19" s="156"/>
      <c r="J19" s="156"/>
      <c r="K19" s="156"/>
      <c r="L19" s="156"/>
    </row>
    <row r="20" spans="1:12" ht="14.25">
      <c r="A20" s="167" t="s">
        <v>168</v>
      </c>
      <c r="B20" s="178" t="s">
        <v>171</v>
      </c>
      <c r="C20" s="171">
        <v>0.0031</v>
      </c>
      <c r="D20" s="172"/>
      <c r="F20" s="156"/>
      <c r="G20" s="156"/>
      <c r="H20" s="156"/>
      <c r="I20" s="156"/>
      <c r="J20" s="156"/>
      <c r="K20" s="156"/>
      <c r="L20" s="156"/>
    </row>
    <row r="21" spans="1:12" ht="14.25">
      <c r="A21" s="167" t="s">
        <v>170</v>
      </c>
      <c r="B21" s="178" t="s">
        <v>172</v>
      </c>
      <c r="C21" s="171">
        <v>0.0166</v>
      </c>
      <c r="D21" s="172"/>
      <c r="F21" s="156"/>
      <c r="G21" s="156"/>
      <c r="H21" s="156"/>
      <c r="I21" s="156"/>
      <c r="J21" s="156"/>
      <c r="K21" s="156"/>
      <c r="L21" s="156"/>
    </row>
    <row r="22" spans="1:12" ht="15">
      <c r="A22" s="167" t="s">
        <v>173</v>
      </c>
      <c r="B22" s="173" t="s">
        <v>174</v>
      </c>
      <c r="C22" s="174">
        <f>SUM(C16:C21)</f>
        <v>0.1737</v>
      </c>
      <c r="D22" s="179"/>
      <c r="F22" s="156"/>
      <c r="G22" s="156"/>
      <c r="H22" s="156"/>
      <c r="I22" s="156"/>
      <c r="J22" s="156"/>
      <c r="K22" s="156"/>
      <c r="L22" s="156"/>
    </row>
    <row r="23" spans="1:12" ht="15">
      <c r="A23" s="175"/>
      <c r="B23" s="176"/>
      <c r="C23" s="177"/>
      <c r="D23" s="179"/>
      <c r="F23" s="156"/>
      <c r="G23" s="156"/>
      <c r="H23" s="156"/>
      <c r="I23" s="156"/>
      <c r="J23" s="156"/>
      <c r="K23" s="156"/>
      <c r="L23" s="156"/>
    </row>
    <row r="24" spans="1:12" ht="14.25">
      <c r="A24" s="167" t="s">
        <v>175</v>
      </c>
      <c r="B24" s="168" t="s">
        <v>176</v>
      </c>
      <c r="C24" s="171">
        <f>ROUND(('3.CAGED'!C29)*'3.CAGED'!C22/'3.CAGED'!C25,4)</f>
        <v>0.0256</v>
      </c>
      <c r="D24" s="172"/>
      <c r="E24" s="180"/>
      <c r="F24" s="156"/>
      <c r="G24" s="156"/>
      <c r="H24" s="156"/>
      <c r="I24" s="156"/>
      <c r="J24" s="156"/>
      <c r="K24" s="156"/>
      <c r="L24" s="156"/>
    </row>
    <row r="25" spans="1:12" ht="14.25">
      <c r="A25" s="167" t="s">
        <v>214</v>
      </c>
      <c r="B25" s="168" t="s">
        <v>178</v>
      </c>
      <c r="C25" s="171">
        <f>ROUND(IF('3.CAGED'!C24&gt;12,12/'3.CAGED'!C24*0.1111,0.1111),4)</f>
        <v>0.0492</v>
      </c>
      <c r="D25" s="172"/>
      <c r="F25" s="156"/>
      <c r="G25" s="156"/>
      <c r="H25" s="181"/>
      <c r="I25" s="156"/>
      <c r="J25" s="156"/>
      <c r="K25" s="156"/>
      <c r="L25" s="156"/>
    </row>
    <row r="26" spans="1:12" ht="14.25">
      <c r="A26" s="167" t="s">
        <v>177</v>
      </c>
      <c r="B26" s="168" t="s">
        <v>180</v>
      </c>
      <c r="C26" s="171">
        <f>C24*C25</f>
        <v>0.00125952</v>
      </c>
      <c r="D26" s="172"/>
      <c r="E26" s="180"/>
      <c r="F26" s="156"/>
      <c r="G26" s="156"/>
      <c r="H26" s="156"/>
      <c r="I26" s="156"/>
      <c r="J26" s="156"/>
      <c r="K26" s="156"/>
      <c r="L26" s="156"/>
    </row>
    <row r="27" spans="1:12" ht="14.25">
      <c r="A27" s="167" t="s">
        <v>179</v>
      </c>
      <c r="B27" s="168" t="s">
        <v>182</v>
      </c>
      <c r="C27" s="171">
        <f>ROUND(('3.CAGED'!C25+'3.CAGED'!C26+'3.CAGED'!C28)/'3.CAGED'!C23*'3.CAGED'!C30*'3.CAGED'!C31*'3.CAGED'!C22/'3.CAGED'!C25,4)</f>
        <v>0.0205</v>
      </c>
      <c r="D27" s="172"/>
      <c r="F27" s="156"/>
      <c r="G27" s="182"/>
      <c r="H27" s="156"/>
      <c r="I27" s="156"/>
      <c r="J27" s="156"/>
      <c r="K27" s="156"/>
      <c r="L27" s="156"/>
    </row>
    <row r="28" spans="1:12" ht="14.25">
      <c r="A28" s="167" t="s">
        <v>181</v>
      </c>
      <c r="B28" s="168" t="s">
        <v>183</v>
      </c>
      <c r="C28" s="171">
        <f>ROUND(('3.CAGED'!C27/'3.CAGED'!C25)*'3.CAGED'!C22/12,4)</f>
        <v>0.0018</v>
      </c>
      <c r="D28" s="172"/>
      <c r="F28" s="156"/>
      <c r="G28" s="156"/>
      <c r="H28" s="156"/>
      <c r="I28" s="156"/>
      <c r="J28" s="156"/>
      <c r="K28" s="156"/>
      <c r="L28" s="156"/>
    </row>
    <row r="29" spans="1:12" ht="15">
      <c r="A29" s="167" t="s">
        <v>184</v>
      </c>
      <c r="B29" s="173" t="s">
        <v>185</v>
      </c>
      <c r="C29" s="174">
        <f>SUM(C24:C28)</f>
        <v>0.09835952</v>
      </c>
      <c r="D29" s="179"/>
      <c r="F29" s="156"/>
      <c r="G29" s="156"/>
      <c r="H29" s="156"/>
      <c r="I29" s="156"/>
      <c r="J29" s="156"/>
      <c r="K29" s="156"/>
      <c r="L29" s="156"/>
    </row>
    <row r="30" spans="1:12" ht="15">
      <c r="A30" s="175"/>
      <c r="B30" s="176"/>
      <c r="C30" s="177"/>
      <c r="D30" s="179"/>
      <c r="F30" s="156"/>
      <c r="G30" s="156"/>
      <c r="H30" s="156"/>
      <c r="I30" s="156"/>
      <c r="J30" s="156"/>
      <c r="K30" s="156"/>
      <c r="L30" s="156"/>
    </row>
    <row r="31" spans="1:12" ht="14.25">
      <c r="A31" s="167" t="s">
        <v>186</v>
      </c>
      <c r="B31" s="168" t="s">
        <v>187</v>
      </c>
      <c r="C31" s="171">
        <f>ROUND(C14*C22,4)</f>
        <v>0.0639</v>
      </c>
      <c r="D31" s="172"/>
      <c r="F31" s="156"/>
      <c r="G31" s="156"/>
      <c r="H31" s="156"/>
      <c r="I31" s="156"/>
      <c r="J31" s="156"/>
      <c r="K31" s="156"/>
      <c r="L31" s="156"/>
    </row>
    <row r="32" spans="1:12" ht="28.5">
      <c r="A32" s="167" t="s">
        <v>188</v>
      </c>
      <c r="B32" s="183" t="s">
        <v>279</v>
      </c>
      <c r="C32" s="171">
        <f>ROUND((C24*C13),4)</f>
        <v>0.002</v>
      </c>
      <c r="D32" s="172"/>
      <c r="F32" s="156"/>
      <c r="G32" s="156"/>
      <c r="H32" s="156"/>
      <c r="I32" s="156"/>
      <c r="J32" s="156"/>
      <c r="K32" s="156"/>
      <c r="L32" s="156"/>
    </row>
    <row r="33" spans="1:12" ht="15">
      <c r="A33" s="167" t="s">
        <v>189</v>
      </c>
      <c r="B33" s="173" t="s">
        <v>190</v>
      </c>
      <c r="C33" s="174">
        <f>SUM(C31:C32)</f>
        <v>0.0659</v>
      </c>
      <c r="D33" s="184"/>
      <c r="F33" s="156"/>
      <c r="G33" s="156"/>
      <c r="H33" s="156"/>
      <c r="I33" s="156"/>
      <c r="J33" s="156"/>
      <c r="K33" s="156"/>
      <c r="L33" s="156"/>
    </row>
    <row r="34" spans="1:12" ht="15.75" thickBot="1">
      <c r="A34" s="185"/>
      <c r="B34" s="186" t="s">
        <v>191</v>
      </c>
      <c r="C34" s="187">
        <f>C33+C29+C22+C14</f>
        <v>0.70595952</v>
      </c>
      <c r="D34" s="184"/>
      <c r="F34" s="156"/>
      <c r="G34" s="156"/>
      <c r="H34" s="156"/>
      <c r="I34" s="156"/>
      <c r="J34" s="156"/>
      <c r="K34" s="156"/>
      <c r="L34" s="156"/>
    </row>
    <row r="35" spans="1:12" ht="15">
      <c r="A35" s="172"/>
      <c r="B35" s="188"/>
      <c r="C35" s="189"/>
      <c r="D35" s="190"/>
      <c r="F35" s="156"/>
      <c r="G35" s="156"/>
      <c r="H35" s="156"/>
      <c r="I35" s="156"/>
      <c r="J35" s="156"/>
      <c r="K35" s="156"/>
      <c r="L35" s="156"/>
    </row>
    <row r="36" spans="1:12" ht="14.25">
      <c r="A36" s="172"/>
      <c r="B36" s="172"/>
      <c r="C36" s="191"/>
      <c r="D36" s="192"/>
      <c r="F36" s="156"/>
      <c r="G36" s="156"/>
      <c r="H36" s="156"/>
      <c r="I36" s="156"/>
      <c r="J36" s="156"/>
      <c r="K36" s="156"/>
      <c r="L36" s="156"/>
    </row>
    <row r="37" spans="1:12" ht="14.25">
      <c r="A37" s="170"/>
      <c r="B37" s="170"/>
      <c r="C37" s="193"/>
      <c r="D37" s="170"/>
      <c r="F37" s="156"/>
      <c r="G37" s="156"/>
      <c r="H37" s="156"/>
      <c r="I37" s="156"/>
      <c r="J37" s="156"/>
      <c r="K37" s="156"/>
      <c r="L37" s="156"/>
    </row>
    <row r="38" spans="1:12" ht="14.25">
      <c r="A38" s="170"/>
      <c r="B38" s="170"/>
      <c r="C38" s="193"/>
      <c r="D38" s="170"/>
      <c r="F38" s="156"/>
      <c r="G38" s="156"/>
      <c r="H38" s="156"/>
      <c r="I38" s="156"/>
      <c r="J38" s="156"/>
      <c r="K38" s="156"/>
      <c r="L38" s="156"/>
    </row>
    <row r="39" spans="1:12" ht="14.25">
      <c r="A39" s="170"/>
      <c r="B39" s="170"/>
      <c r="C39" s="193"/>
      <c r="D39" s="170"/>
      <c r="F39" s="156"/>
      <c r="G39" s="156"/>
      <c r="H39" s="156"/>
      <c r="I39" s="156"/>
      <c r="J39" s="156"/>
      <c r="K39" s="156"/>
      <c r="L39" s="156"/>
    </row>
    <row r="40" spans="1:12" ht="15">
      <c r="A40" s="170"/>
      <c r="B40" s="194"/>
      <c r="C40" s="195"/>
      <c r="D40" s="170"/>
      <c r="F40" s="156"/>
      <c r="G40" s="156"/>
      <c r="H40" s="156"/>
      <c r="I40" s="156"/>
      <c r="J40" s="156"/>
      <c r="K40" s="156"/>
      <c r="L40" s="156"/>
    </row>
    <row r="41" spans="1:12" ht="15">
      <c r="A41" s="184"/>
      <c r="B41" s="194"/>
      <c r="C41" s="195"/>
      <c r="D41" s="184"/>
      <c r="E41" s="156"/>
      <c r="F41" s="156"/>
      <c r="G41" s="156"/>
      <c r="H41" s="156"/>
      <c r="I41" s="156"/>
      <c r="J41" s="156"/>
      <c r="K41" s="156"/>
      <c r="L41" s="156"/>
    </row>
    <row r="42" spans="1:12" ht="16.5">
      <c r="A42" s="196"/>
      <c r="B42" s="156"/>
      <c r="C42" s="156"/>
      <c r="E42" s="156"/>
      <c r="F42" s="156"/>
      <c r="G42" s="156"/>
      <c r="H42" s="156"/>
      <c r="I42" s="156"/>
      <c r="J42" s="156"/>
      <c r="K42" s="156"/>
      <c r="L42" s="156"/>
    </row>
    <row r="43" spans="1:12" ht="12.75">
      <c r="A43" s="197"/>
      <c r="B43" s="198"/>
      <c r="C43" s="198"/>
      <c r="E43" s="156"/>
      <c r="F43" s="156"/>
      <c r="G43" s="156"/>
      <c r="H43" s="156"/>
      <c r="I43" s="156"/>
      <c r="J43" s="156"/>
      <c r="K43" s="156"/>
      <c r="L43" s="156"/>
    </row>
    <row r="44" spans="1:12" ht="14.25">
      <c r="A44" s="170"/>
      <c r="B44" s="199"/>
      <c r="C44" s="198"/>
      <c r="E44" s="156"/>
      <c r="F44" s="156"/>
      <c r="G44" s="156"/>
      <c r="H44" s="156"/>
      <c r="I44" s="156"/>
      <c r="J44" s="156"/>
      <c r="K44" s="156"/>
      <c r="L44" s="156"/>
    </row>
    <row r="45" spans="1:12" ht="14.25">
      <c r="A45" s="170"/>
      <c r="B45" s="199"/>
      <c r="C45" s="170"/>
      <c r="E45" s="156"/>
      <c r="F45" s="156"/>
      <c r="G45" s="156"/>
      <c r="H45" s="156"/>
      <c r="I45" s="156"/>
      <c r="J45" s="156"/>
      <c r="K45" s="156"/>
      <c r="L45" s="156"/>
    </row>
    <row r="46" spans="1:12" ht="14.25">
      <c r="A46" s="170"/>
      <c r="B46" s="193"/>
      <c r="C46" s="198"/>
      <c r="E46" s="156"/>
      <c r="F46" s="156"/>
      <c r="G46" s="156"/>
      <c r="H46" s="156"/>
      <c r="I46" s="156"/>
      <c r="J46" s="156"/>
      <c r="K46" s="156"/>
      <c r="L46" s="156"/>
    </row>
    <row r="47" spans="1:12" ht="14.25">
      <c r="A47" s="170"/>
      <c r="B47" s="199"/>
      <c r="C47" s="170"/>
      <c r="E47" s="156"/>
      <c r="F47" s="156"/>
      <c r="G47" s="156"/>
      <c r="H47" s="156"/>
      <c r="I47" s="156"/>
      <c r="J47" s="156"/>
      <c r="K47" s="156"/>
      <c r="L47" s="156"/>
    </row>
    <row r="48" spans="1:12" ht="14.25">
      <c r="A48" s="170"/>
      <c r="B48" s="193"/>
      <c r="C48" s="198"/>
      <c r="E48" s="156"/>
      <c r="F48" s="156"/>
      <c r="G48" s="156"/>
      <c r="H48" s="156"/>
      <c r="I48" s="156"/>
      <c r="J48" s="156"/>
      <c r="K48" s="156"/>
      <c r="L48" s="156"/>
    </row>
    <row r="49" spans="1:12" ht="14.25">
      <c r="A49" s="170"/>
      <c r="B49" s="199"/>
      <c r="C49" s="170"/>
      <c r="E49" s="156"/>
      <c r="F49" s="156"/>
      <c r="G49" s="156"/>
      <c r="H49" s="156"/>
      <c r="I49" s="156"/>
      <c r="J49" s="156"/>
      <c r="K49" s="156"/>
      <c r="L49" s="156"/>
    </row>
    <row r="50" spans="1:12" ht="14.25">
      <c r="A50" s="170"/>
      <c r="B50" s="193"/>
      <c r="C50" s="198"/>
      <c r="E50" s="156"/>
      <c r="F50" s="156"/>
      <c r="G50" s="156"/>
      <c r="H50" s="156"/>
      <c r="I50" s="156"/>
      <c r="J50" s="156"/>
      <c r="K50" s="156"/>
      <c r="L50" s="156"/>
    </row>
    <row r="51" spans="1:12" ht="14.25">
      <c r="A51" s="170"/>
      <c r="B51" s="199"/>
      <c r="C51" s="170"/>
      <c r="E51" s="156"/>
      <c r="F51" s="156"/>
      <c r="G51" s="156"/>
      <c r="H51" s="156"/>
      <c r="I51" s="156"/>
      <c r="J51" s="156"/>
      <c r="K51" s="156"/>
      <c r="L51" s="156"/>
    </row>
    <row r="52" spans="1:12" ht="14.25">
      <c r="A52" s="170"/>
      <c r="B52" s="193"/>
      <c r="C52" s="198"/>
      <c r="E52" s="156"/>
      <c r="F52" s="156"/>
      <c r="G52" s="156"/>
      <c r="H52" s="156"/>
      <c r="I52" s="156"/>
      <c r="J52" s="156"/>
      <c r="K52" s="156"/>
      <c r="L52" s="156"/>
    </row>
    <row r="53" spans="1:12" ht="16.5">
      <c r="A53" s="196"/>
      <c r="B53" s="156"/>
      <c r="C53" s="156"/>
      <c r="E53" s="156"/>
      <c r="F53" s="156"/>
      <c r="G53" s="156"/>
      <c r="H53" s="156"/>
      <c r="I53" s="156"/>
      <c r="J53" s="156"/>
      <c r="K53" s="156"/>
      <c r="L53" s="156"/>
    </row>
    <row r="54" spans="1:12" ht="12.75">
      <c r="A54" s="156"/>
      <c r="B54" s="156"/>
      <c r="C54" s="156"/>
      <c r="E54" s="156"/>
      <c r="F54" s="156"/>
      <c r="G54" s="156"/>
      <c r="H54" s="156"/>
      <c r="I54" s="156"/>
      <c r="J54" s="156"/>
      <c r="K54" s="156"/>
      <c r="L54" s="156"/>
    </row>
    <row r="55" spans="1:12" ht="12.75">
      <c r="A55" s="156"/>
      <c r="B55" s="156"/>
      <c r="C55" s="156"/>
      <c r="E55" s="156"/>
      <c r="F55" s="156"/>
      <c r="G55" s="156"/>
      <c r="H55" s="156"/>
      <c r="I55" s="156"/>
      <c r="J55" s="156"/>
      <c r="K55" s="156"/>
      <c r="L55" s="156"/>
    </row>
    <row r="56" spans="1:12" ht="12.75">
      <c r="A56" s="200"/>
      <c r="B56" s="156"/>
      <c r="C56" s="156"/>
      <c r="E56" s="156"/>
      <c r="F56" s="156"/>
      <c r="G56" s="156"/>
      <c r="H56" s="156"/>
      <c r="I56" s="156"/>
      <c r="J56" s="156"/>
      <c r="K56" s="156"/>
      <c r="L56" s="156"/>
    </row>
    <row r="57" spans="1:5" ht="12.75">
      <c r="A57" s="156"/>
      <c r="B57" s="156"/>
      <c r="C57" s="156"/>
      <c r="E57" s="156"/>
    </row>
    <row r="58" spans="1:5" ht="12.75">
      <c r="A58" s="156"/>
      <c r="B58" s="156"/>
      <c r="C58" s="156"/>
      <c r="E58" s="156"/>
    </row>
    <row r="59" spans="1:5" ht="12.75">
      <c r="A59" s="156"/>
      <c r="B59" s="156"/>
      <c r="C59" s="156"/>
      <c r="E59" s="156"/>
    </row>
    <row r="60" spans="1:5" ht="12.75">
      <c r="A60" s="156"/>
      <c r="B60" s="156"/>
      <c r="C60" s="156"/>
      <c r="E60" s="156"/>
    </row>
    <row r="61" spans="1:5" ht="12.75">
      <c r="A61" s="156"/>
      <c r="B61" s="156"/>
      <c r="C61" s="156"/>
      <c r="E61" s="156"/>
    </row>
    <row r="62" spans="1:5" ht="12.75">
      <c r="A62" s="156"/>
      <c r="B62" s="156"/>
      <c r="C62" s="156"/>
      <c r="E62" s="156"/>
    </row>
    <row r="63" spans="1:5" ht="12.75">
      <c r="A63" s="156"/>
      <c r="B63" s="156"/>
      <c r="C63" s="156"/>
      <c r="E63" s="156"/>
    </row>
    <row r="64" spans="1:5" ht="12.75">
      <c r="A64" s="156"/>
      <c r="B64" s="156"/>
      <c r="C64" s="156"/>
      <c r="E64" s="156"/>
    </row>
    <row r="65" spans="1:5" ht="12.75">
      <c r="A65" s="156"/>
      <c r="B65" s="156"/>
      <c r="C65" s="156"/>
      <c r="E65" s="156"/>
    </row>
  </sheetData>
  <sheetProtection/>
  <mergeCells count="1">
    <mergeCell ref="A4:C4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8.57421875" style="1" customWidth="1"/>
    <col min="2" max="2" width="67.140625" style="1" customWidth="1"/>
    <col min="3" max="3" width="15.00390625" style="1" customWidth="1"/>
    <col min="4" max="4" width="10.28125" style="1" customWidth="1"/>
    <col min="5" max="5" width="13.7109375" style="1" customWidth="1"/>
    <col min="6" max="16384" width="9.140625" style="1" customWidth="1"/>
  </cols>
  <sheetData>
    <row r="1" ht="12.75">
      <c r="A1" s="108" t="s">
        <v>238</v>
      </c>
    </row>
    <row r="2" ht="13.5" thickBot="1"/>
    <row r="3" spans="2:3" ht="18">
      <c r="B3" s="336" t="s">
        <v>224</v>
      </c>
      <c r="C3" s="337"/>
    </row>
    <row r="4" spans="1:3" ht="15">
      <c r="A4" s="156"/>
      <c r="B4" s="155" t="s">
        <v>205</v>
      </c>
      <c r="C4" s="201"/>
    </row>
    <row r="5" spans="1:3" ht="15">
      <c r="A5" s="156"/>
      <c r="B5" s="157" t="s">
        <v>127</v>
      </c>
      <c r="C5" s="158">
        <v>2100</v>
      </c>
    </row>
    <row r="6" spans="1:3" ht="15">
      <c r="A6" s="156"/>
      <c r="B6" s="159" t="s">
        <v>128</v>
      </c>
      <c r="C6" s="158">
        <v>2031</v>
      </c>
    </row>
    <row r="7" spans="1:3" ht="14.25">
      <c r="A7" s="156"/>
      <c r="B7" s="202" t="s">
        <v>129</v>
      </c>
      <c r="C7" s="203">
        <v>44</v>
      </c>
    </row>
    <row r="8" spans="1:3" ht="14.25">
      <c r="A8" s="156"/>
      <c r="B8" s="202" t="s">
        <v>130</v>
      </c>
      <c r="C8" s="203">
        <v>1192</v>
      </c>
    </row>
    <row r="9" spans="1:3" ht="14.25">
      <c r="A9" s="156"/>
      <c r="B9" s="202" t="s">
        <v>131</v>
      </c>
      <c r="C9" s="203">
        <v>372</v>
      </c>
    </row>
    <row r="10" spans="1:3" ht="14.25">
      <c r="A10" s="156"/>
      <c r="B10" s="202" t="s">
        <v>132</v>
      </c>
      <c r="C10" s="203">
        <v>22</v>
      </c>
    </row>
    <row r="11" spans="1:3" ht="14.25">
      <c r="A11" s="156"/>
      <c r="B11" s="202" t="s">
        <v>133</v>
      </c>
      <c r="C11" s="203">
        <v>350</v>
      </c>
    </row>
    <row r="12" spans="1:3" ht="14.25">
      <c r="A12" s="156"/>
      <c r="B12" s="202" t="s">
        <v>134</v>
      </c>
      <c r="C12" s="203">
        <v>1</v>
      </c>
    </row>
    <row r="13" spans="1:3" ht="14.25">
      <c r="A13" s="156"/>
      <c r="B13" s="202" t="s">
        <v>135</v>
      </c>
      <c r="C13" s="203">
        <v>30</v>
      </c>
    </row>
    <row r="14" spans="1:3" ht="14.25">
      <c r="A14" s="156"/>
      <c r="B14" s="204" t="s">
        <v>136</v>
      </c>
      <c r="C14" s="205">
        <v>0</v>
      </c>
    </row>
    <row r="15" spans="1:3" ht="14.25">
      <c r="A15" s="156"/>
      <c r="B15" s="305" t="s">
        <v>284</v>
      </c>
      <c r="C15" s="205">
        <v>0</v>
      </c>
    </row>
    <row r="16" spans="1:3" ht="15">
      <c r="A16" s="156" t="s">
        <v>137</v>
      </c>
      <c r="B16" s="155" t="s">
        <v>138</v>
      </c>
      <c r="C16" s="201"/>
    </row>
    <row r="17" spans="1:4" ht="14.25">
      <c r="A17" s="156"/>
      <c r="B17" s="206" t="s">
        <v>286</v>
      </c>
      <c r="C17" s="207">
        <v>4625</v>
      </c>
      <c r="D17" s="273"/>
    </row>
    <row r="18" spans="1:4" ht="14.25">
      <c r="A18" s="156"/>
      <c r="B18" s="202" t="s">
        <v>287</v>
      </c>
      <c r="C18" s="203">
        <v>4694</v>
      </c>
      <c r="D18" s="273"/>
    </row>
    <row r="19" spans="2:3" ht="14.25">
      <c r="B19" s="202" t="s">
        <v>285</v>
      </c>
      <c r="C19" s="299">
        <f>C5-C6</f>
        <v>69</v>
      </c>
    </row>
    <row r="20" spans="2:3" ht="14.25">
      <c r="B20" s="208"/>
      <c r="C20" s="209"/>
    </row>
    <row r="21" spans="2:3" s="108" customFormat="1" ht="15">
      <c r="B21" s="157" t="s">
        <v>140</v>
      </c>
      <c r="C21" s="210">
        <f>MEDIAN(C17,C18)</f>
        <v>4659.5</v>
      </c>
    </row>
    <row r="22" spans="2:3" ht="15">
      <c r="B22" s="159" t="s">
        <v>282</v>
      </c>
      <c r="C22" s="303">
        <f>C8/C21</f>
        <v>0.2558214400686769</v>
      </c>
    </row>
    <row r="23" spans="2:5" ht="15">
      <c r="B23" s="159" t="s">
        <v>283</v>
      </c>
      <c r="C23" s="303">
        <f>MEDIAN(C5,C6)/C21</f>
        <v>0.4432879064277283</v>
      </c>
      <c r="E23" s="273"/>
    </row>
    <row r="24" spans="2:3" s="108" customFormat="1" ht="15">
      <c r="B24" s="159" t="s">
        <v>244</v>
      </c>
      <c r="C24" s="301">
        <f>12/C23</f>
        <v>27.070442992011618</v>
      </c>
    </row>
    <row r="25" spans="2:3" ht="15">
      <c r="B25" s="159" t="s">
        <v>139</v>
      </c>
      <c r="C25" s="161">
        <v>360</v>
      </c>
    </row>
    <row r="26" spans="2:3" ht="15">
      <c r="B26" s="159" t="s">
        <v>239</v>
      </c>
      <c r="C26" s="161">
        <v>10</v>
      </c>
    </row>
    <row r="27" spans="2:3" ht="15">
      <c r="B27" s="157" t="s">
        <v>240</v>
      </c>
      <c r="C27" s="160">
        <v>30</v>
      </c>
    </row>
    <row r="28" spans="2:3" ht="15">
      <c r="B28" s="157" t="s">
        <v>241</v>
      </c>
      <c r="C28" s="160">
        <v>30</v>
      </c>
    </row>
    <row r="29" spans="2:3" s="108" customFormat="1" ht="15">
      <c r="B29" s="157" t="s">
        <v>142</v>
      </c>
      <c r="C29" s="160">
        <f>30+(3*TRUNC(1/C23))</f>
        <v>36</v>
      </c>
    </row>
    <row r="30" spans="2:3" s="108" customFormat="1" ht="15">
      <c r="B30" s="159" t="s">
        <v>39</v>
      </c>
      <c r="C30" s="302">
        <v>0.08</v>
      </c>
    </row>
    <row r="31" spans="2:3" s="108" customFormat="1" ht="15.75" thickBot="1">
      <c r="B31" s="162" t="s">
        <v>141</v>
      </c>
      <c r="C31" s="304">
        <v>0.4</v>
      </c>
    </row>
    <row r="32" ht="12.75">
      <c r="B32" s="1" t="s">
        <v>288</v>
      </c>
    </row>
    <row r="33" spans="2:5" ht="39.75" customHeight="1">
      <c r="B33" s="338" t="s">
        <v>303</v>
      </c>
      <c r="C33" s="339"/>
      <c r="D33" s="312"/>
      <c r="E33" s="312"/>
    </row>
  </sheetData>
  <sheetProtection/>
  <mergeCells count="2">
    <mergeCell ref="B3:C3"/>
    <mergeCell ref="B33:C33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1.8515625" style="0" bestFit="1" customWidth="1"/>
    <col min="2" max="2" width="5.57421875" style="0" bestFit="1" customWidth="1"/>
    <col min="4" max="4" width="9.7109375" style="0" bestFit="1" customWidth="1"/>
    <col min="5" max="5" width="8.00390625" style="122" bestFit="1" customWidth="1"/>
    <col min="6" max="6" width="9.7109375" style="0" bestFit="1" customWidth="1"/>
  </cols>
  <sheetData>
    <row r="1" spans="2:5" s="145" customFormat="1" ht="15" thickBot="1">
      <c r="B1" s="143"/>
      <c r="C1" s="143"/>
      <c r="E1" s="146"/>
    </row>
    <row r="2" spans="1:6" ht="15.75">
      <c r="A2" s="345" t="s">
        <v>225</v>
      </c>
      <c r="B2" s="346"/>
      <c r="C2" s="346"/>
      <c r="D2" s="346"/>
      <c r="E2" s="346"/>
      <c r="F2" s="347"/>
    </row>
    <row r="3" spans="1:6" ht="16.5" thickBot="1">
      <c r="A3" s="258"/>
      <c r="B3" s="259"/>
      <c r="C3" s="259"/>
      <c r="D3" s="259"/>
      <c r="E3" s="259"/>
      <c r="F3" s="260"/>
    </row>
    <row r="4" spans="1:8" ht="15">
      <c r="A4" s="211"/>
      <c r="B4" s="144"/>
      <c r="C4" s="144"/>
      <c r="D4" s="342" t="s">
        <v>242</v>
      </c>
      <c r="E4" s="343"/>
      <c r="F4" s="344"/>
      <c r="G4" s="145"/>
      <c r="H4" s="145"/>
    </row>
    <row r="5" spans="1:8" ht="15" thickBot="1">
      <c r="A5" s="208"/>
      <c r="B5" s="212"/>
      <c r="C5" s="212"/>
      <c r="D5" s="213" t="s">
        <v>192</v>
      </c>
      <c r="E5" s="214" t="s">
        <v>193</v>
      </c>
      <c r="F5" s="215" t="s">
        <v>194</v>
      </c>
      <c r="G5" s="145"/>
      <c r="H5" s="145"/>
    </row>
    <row r="6" spans="1:8" ht="14.25">
      <c r="A6" s="216" t="s">
        <v>74</v>
      </c>
      <c r="B6" s="217" t="s">
        <v>75</v>
      </c>
      <c r="C6" s="218">
        <v>0.06</v>
      </c>
      <c r="D6" s="239">
        <v>0.0297</v>
      </c>
      <c r="E6" s="240">
        <v>0.0508</v>
      </c>
      <c r="F6" s="241">
        <v>0.0627</v>
      </c>
      <c r="G6" s="145"/>
      <c r="H6" s="145"/>
    </row>
    <row r="7" spans="1:8" ht="14.25">
      <c r="A7" s="220" t="s">
        <v>76</v>
      </c>
      <c r="B7" s="221" t="s">
        <v>77</v>
      </c>
      <c r="C7" s="222">
        <v>0</v>
      </c>
      <c r="D7" s="239">
        <f>0.3%+0.56%</f>
        <v>0.0086</v>
      </c>
      <c r="E7" s="240">
        <f>0.48%+0.85%</f>
        <v>0.0133</v>
      </c>
      <c r="F7" s="241">
        <f>0.82%+0.89%</f>
        <v>0.017099999999999997</v>
      </c>
      <c r="G7" s="145"/>
      <c r="H7" s="145"/>
    </row>
    <row r="8" spans="1:8" ht="14.25">
      <c r="A8" s="220" t="s">
        <v>78</v>
      </c>
      <c r="B8" s="221" t="s">
        <v>79</v>
      </c>
      <c r="C8" s="222">
        <v>0.11</v>
      </c>
      <c r="D8" s="239">
        <v>0.0778</v>
      </c>
      <c r="E8" s="240">
        <v>0.1085</v>
      </c>
      <c r="F8" s="241">
        <v>0.1355</v>
      </c>
      <c r="G8" s="145"/>
      <c r="H8" s="145"/>
    </row>
    <row r="9" spans="1:8" ht="14.25">
      <c r="A9" s="220" t="s">
        <v>80</v>
      </c>
      <c r="B9" s="221" t="s">
        <v>81</v>
      </c>
      <c r="C9" s="223">
        <f>(1+E9)^(E10/252)-1</f>
        <v>0.0021583297899947507</v>
      </c>
      <c r="D9" s="239" t="s">
        <v>275</v>
      </c>
      <c r="E9" s="224">
        <v>0.027538</v>
      </c>
      <c r="F9" s="219"/>
      <c r="G9" s="145"/>
      <c r="H9" s="145"/>
    </row>
    <row r="10" spans="1:8" ht="14.25">
      <c r="A10" s="220" t="s">
        <v>82</v>
      </c>
      <c r="B10" s="340" t="s">
        <v>83</v>
      </c>
      <c r="C10" s="222">
        <v>0.04</v>
      </c>
      <c r="D10" s="297" t="s">
        <v>195</v>
      </c>
      <c r="E10" s="225">
        <v>20</v>
      </c>
      <c r="F10" s="226"/>
      <c r="G10" s="310"/>
      <c r="H10" s="145"/>
    </row>
    <row r="11" spans="1:8" ht="15" thickBot="1">
      <c r="A11" s="227" t="s">
        <v>84</v>
      </c>
      <c r="B11" s="341"/>
      <c r="C11" s="228">
        <v>0.0365</v>
      </c>
      <c r="D11" s="202"/>
      <c r="E11" s="229"/>
      <c r="F11" s="226"/>
      <c r="G11" s="145"/>
      <c r="H11" s="145"/>
    </row>
    <row r="12" spans="1:8" ht="14.25">
      <c r="A12" s="230" t="s">
        <v>85</v>
      </c>
      <c r="B12" s="231"/>
      <c r="C12" s="232"/>
      <c r="D12" s="202"/>
      <c r="E12" s="229"/>
      <c r="F12" s="226"/>
      <c r="G12" s="145"/>
      <c r="H12" s="145"/>
    </row>
    <row r="13" spans="1:8" ht="15" thickBot="1">
      <c r="A13" s="233" t="s">
        <v>86</v>
      </c>
      <c r="B13" s="234"/>
      <c r="C13" s="235"/>
      <c r="D13" s="202"/>
      <c r="E13" s="229"/>
      <c r="F13" s="226"/>
      <c r="G13" s="145"/>
      <c r="H13" s="145"/>
    </row>
    <row r="14" spans="1:8" ht="15.75" thickBot="1">
      <c r="A14" s="236" t="s">
        <v>87</v>
      </c>
      <c r="B14" s="237"/>
      <c r="C14" s="238">
        <f>ROUND((((1+C6+C7)*(1+C8)*(1+C9))/(1-(C10+C11))-1),4)</f>
        <v>0.2768</v>
      </c>
      <c r="D14" s="242">
        <v>0.2143</v>
      </c>
      <c r="E14" s="243">
        <v>0.2717</v>
      </c>
      <c r="F14" s="244">
        <v>0.3362</v>
      </c>
      <c r="G14" s="145"/>
      <c r="H14" s="145"/>
    </row>
    <row r="15" spans="1:8" ht="14.25">
      <c r="A15" s="145"/>
      <c r="B15" s="145"/>
      <c r="C15" s="145"/>
      <c r="D15" s="145"/>
      <c r="E15" s="146"/>
      <c r="F15" s="145"/>
      <c r="G15" s="145"/>
      <c r="H15" s="145"/>
    </row>
    <row r="16" spans="1:8" ht="14.25">
      <c r="A16" s="145"/>
      <c r="B16" s="145"/>
      <c r="C16" s="145"/>
      <c r="D16" s="145"/>
      <c r="E16" s="146"/>
      <c r="F16" s="145"/>
      <c r="G16" s="145"/>
      <c r="H16" s="145"/>
    </row>
    <row r="17" spans="1:8" ht="14.25">
      <c r="A17" s="145"/>
      <c r="B17" s="145"/>
      <c r="C17" s="145"/>
      <c r="D17" s="145"/>
      <c r="E17" s="146"/>
      <c r="F17" s="145"/>
      <c r="G17" s="145"/>
      <c r="H17" s="145"/>
    </row>
    <row r="18" spans="1:8" ht="14.25">
      <c r="A18" s="145"/>
      <c r="B18" s="145"/>
      <c r="C18" s="145"/>
      <c r="D18" s="145"/>
      <c r="E18" s="146"/>
      <c r="F18" s="145"/>
      <c r="G18" s="145"/>
      <c r="H18" s="145"/>
    </row>
    <row r="19" ht="12.75"/>
  </sheetData>
  <sheetProtection/>
  <mergeCells count="3">
    <mergeCell ref="B10:B11"/>
    <mergeCell ref="D4:F4"/>
    <mergeCell ref="A2:F2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7" sqref="A17"/>
    </sheetView>
  </sheetViews>
  <sheetFormatPr defaultColWidth="9.140625" defaultRowHeight="19.5" customHeight="1"/>
  <cols>
    <col min="1" max="1" width="24.57421875" style="1" customWidth="1"/>
    <col min="2" max="2" width="20.8515625" style="1" customWidth="1"/>
    <col min="3" max="16384" width="9.140625" style="1" customWidth="1"/>
  </cols>
  <sheetData>
    <row r="1" spans="1:2" ht="19.5" customHeight="1" thickBot="1">
      <c r="A1" s="348" t="s">
        <v>227</v>
      </c>
      <c r="B1" s="349"/>
    </row>
    <row r="2" spans="1:2" s="108" customFormat="1" ht="19.5" customHeight="1">
      <c r="A2" s="261" t="s">
        <v>206</v>
      </c>
      <c r="B2" s="262" t="s">
        <v>277</v>
      </c>
    </row>
    <row r="3" spans="1:2" ht="19.5" customHeight="1">
      <c r="A3" s="164">
        <v>1</v>
      </c>
      <c r="B3" s="163">
        <v>33.629999999999995</v>
      </c>
    </row>
    <row r="4" spans="1:2" ht="19.5" customHeight="1">
      <c r="A4" s="164">
        <v>2</v>
      </c>
      <c r="B4" s="163">
        <v>43.13</v>
      </c>
    </row>
    <row r="5" spans="1:2" ht="19.5" customHeight="1">
      <c r="A5" s="164">
        <v>3</v>
      </c>
      <c r="B5" s="163">
        <v>48.68</v>
      </c>
    </row>
    <row r="6" spans="1:2" ht="19.5" customHeight="1">
      <c r="A6" s="164">
        <v>4</v>
      </c>
      <c r="B6" s="163">
        <v>52.62</v>
      </c>
    </row>
    <row r="7" spans="1:2" ht="19.5" customHeight="1">
      <c r="A7" s="164">
        <v>5</v>
      </c>
      <c r="B7" s="163">
        <v>55.67999999999999</v>
      </c>
    </row>
    <row r="8" spans="1:2" ht="19.5" customHeight="1">
      <c r="A8" s="164">
        <v>6</v>
      </c>
      <c r="B8" s="163">
        <v>58.18</v>
      </c>
    </row>
    <row r="9" spans="1:2" ht="19.5" customHeight="1">
      <c r="A9" s="164">
        <v>7</v>
      </c>
      <c r="B9" s="163">
        <v>60.29</v>
      </c>
    </row>
    <row r="10" spans="1:2" ht="19.5" customHeight="1">
      <c r="A10" s="164">
        <v>8</v>
      </c>
      <c r="B10" s="163">
        <v>62.12</v>
      </c>
    </row>
    <row r="11" spans="1:2" ht="19.5" customHeight="1">
      <c r="A11" s="164">
        <v>9</v>
      </c>
      <c r="B11" s="163">
        <v>63.73</v>
      </c>
    </row>
    <row r="12" spans="1:2" ht="19.5" customHeight="1">
      <c r="A12" s="164">
        <v>10</v>
      </c>
      <c r="B12" s="163">
        <v>65.18</v>
      </c>
    </row>
    <row r="13" spans="1:2" ht="19.5" customHeight="1">
      <c r="A13" s="164">
        <v>11</v>
      </c>
      <c r="B13" s="163">
        <v>66.47999999999999</v>
      </c>
    </row>
    <row r="14" spans="1:2" ht="19.5" customHeight="1">
      <c r="A14" s="164">
        <v>12</v>
      </c>
      <c r="B14" s="163">
        <v>67.67</v>
      </c>
    </row>
    <row r="15" spans="1:2" ht="19.5" customHeight="1">
      <c r="A15" s="164">
        <v>13</v>
      </c>
      <c r="B15" s="163">
        <v>68.77</v>
      </c>
    </row>
    <row r="16" spans="1:2" ht="19.5" customHeight="1">
      <c r="A16" s="164">
        <v>14</v>
      </c>
      <c r="B16" s="163">
        <v>69.78999999999999</v>
      </c>
    </row>
    <row r="17" spans="1:2" ht="19.5" customHeight="1" thickBot="1">
      <c r="A17" s="165">
        <v>15</v>
      </c>
      <c r="B17" s="166">
        <v>70.73</v>
      </c>
    </row>
  </sheetData>
  <sheetProtection/>
  <mergeCells count="1">
    <mergeCell ref="A1:B1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0.421875" style="1" customWidth="1"/>
    <col min="2" max="3" width="9.140625" style="1" customWidth="1"/>
    <col min="4" max="4" width="12.8515625" style="1" bestFit="1" customWidth="1"/>
    <col min="5" max="16384" width="9.140625" style="1" customWidth="1"/>
  </cols>
  <sheetData>
    <row r="1" ht="18">
      <c r="A1" s="248" t="s">
        <v>231</v>
      </c>
    </row>
    <row r="2" ht="12.75">
      <c r="A2" s="245"/>
    </row>
    <row r="3" ht="12.75">
      <c r="A3" s="245" t="s">
        <v>245</v>
      </c>
    </row>
    <row r="4" ht="12.75">
      <c r="A4" s="245"/>
    </row>
    <row r="5" ht="12.75">
      <c r="A5" s="245"/>
    </row>
    <row r="6" ht="12.75">
      <c r="A6" s="245"/>
    </row>
    <row r="7" ht="12.75">
      <c r="A7" s="245"/>
    </row>
    <row r="8" ht="12.75">
      <c r="A8" s="245"/>
    </row>
    <row r="9" ht="12.75">
      <c r="A9" s="245"/>
    </row>
    <row r="10" ht="12.75">
      <c r="A10" s="245"/>
    </row>
    <row r="11" ht="12.75">
      <c r="A11" s="245"/>
    </row>
    <row r="12" ht="19.5">
      <c r="A12" s="246" t="s">
        <v>228</v>
      </c>
    </row>
    <row r="13" ht="15">
      <c r="A13" s="246" t="s">
        <v>111</v>
      </c>
    </row>
    <row r="14" ht="15">
      <c r="A14" s="246" t="s">
        <v>116</v>
      </c>
    </row>
    <row r="15" ht="19.5">
      <c r="A15" s="246" t="s">
        <v>229</v>
      </c>
    </row>
    <row r="16" ht="19.5">
      <c r="A16" s="246" t="s">
        <v>230</v>
      </c>
    </row>
    <row r="17" ht="15.75" thickBot="1">
      <c r="A17" s="247" t="s">
        <v>112</v>
      </c>
    </row>
  </sheetData>
  <sheetProtection/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58.28125" style="273" customWidth="1"/>
    <col min="2" max="2" width="11.140625" style="273" bestFit="1" customWidth="1"/>
    <col min="3" max="3" width="11.28125" style="273" bestFit="1" customWidth="1"/>
    <col min="4" max="16384" width="9.140625" style="273" customWidth="1"/>
  </cols>
  <sheetData>
    <row r="1" ht="12.75">
      <c r="A1" s="11" t="s">
        <v>204</v>
      </c>
    </row>
    <row r="2" ht="12.75">
      <c r="A2" s="278" t="s">
        <v>252</v>
      </c>
    </row>
    <row r="3" ht="12.75">
      <c r="A3" s="278" t="s">
        <v>278</v>
      </c>
    </row>
    <row r="4" ht="12.75">
      <c r="A4" s="7" t="s">
        <v>276</v>
      </c>
    </row>
    <row r="5" ht="12.75">
      <c r="A5" s="7"/>
    </row>
    <row r="6" ht="13.5" thickBot="1"/>
    <row r="7" spans="1:3" ht="18">
      <c r="A7" s="350" t="s">
        <v>272</v>
      </c>
      <c r="B7" s="351"/>
      <c r="C7" s="352"/>
    </row>
    <row r="8" spans="1:3" s="279" customFormat="1" ht="18">
      <c r="A8" s="294"/>
      <c r="B8" s="293"/>
      <c r="C8" s="295"/>
    </row>
    <row r="9" spans="1:3" s="108" customFormat="1" ht="15">
      <c r="A9" s="280" t="s">
        <v>273</v>
      </c>
      <c r="B9" s="281" t="s">
        <v>253</v>
      </c>
      <c r="C9" s="282" t="s">
        <v>145</v>
      </c>
    </row>
    <row r="10" spans="1:3" ht="14.25">
      <c r="A10" s="283" t="s">
        <v>261</v>
      </c>
      <c r="B10" s="284" t="s">
        <v>254</v>
      </c>
      <c r="C10" s="203">
        <v>4222</v>
      </c>
    </row>
    <row r="11" spans="1:3" ht="14.25">
      <c r="A11" s="202" t="s">
        <v>262</v>
      </c>
      <c r="B11" s="285" t="s">
        <v>259</v>
      </c>
      <c r="C11" s="286">
        <f>0.0362741*C10^0.2336249</f>
        <v>0.2550398120204247</v>
      </c>
    </row>
    <row r="12" spans="1:3" ht="14.25">
      <c r="A12" s="202" t="s">
        <v>263</v>
      </c>
      <c r="B12" s="285" t="s">
        <v>260</v>
      </c>
      <c r="C12" s="287">
        <f>C10*C11/1000</f>
        <v>1.076778086350233</v>
      </c>
    </row>
    <row r="13" spans="1:3" ht="14.25">
      <c r="A13" s="202" t="s">
        <v>269</v>
      </c>
      <c r="B13" s="285" t="s">
        <v>255</v>
      </c>
      <c r="C13" s="288">
        <f>(C12*30)</f>
        <v>32.303342590506986</v>
      </c>
    </row>
    <row r="14" spans="1:3" ht="14.25">
      <c r="A14" s="202" t="s">
        <v>265</v>
      </c>
      <c r="B14" s="285" t="s">
        <v>92</v>
      </c>
      <c r="C14" s="291">
        <v>2</v>
      </c>
    </row>
    <row r="15" spans="1:3" ht="14.25">
      <c r="A15" s="202" t="s">
        <v>264</v>
      </c>
      <c r="B15" s="285" t="s">
        <v>260</v>
      </c>
      <c r="C15" s="287">
        <f>_xlfn.IFERROR(C12*7/C14,0)</f>
        <v>3.7687233022258155</v>
      </c>
    </row>
    <row r="16" spans="1:3" ht="14.25">
      <c r="A16" s="283" t="s">
        <v>256</v>
      </c>
      <c r="B16" s="285" t="s">
        <v>257</v>
      </c>
      <c r="C16" s="226">
        <v>500</v>
      </c>
    </row>
    <row r="17" spans="1:3" ht="14.25">
      <c r="A17" s="202" t="s">
        <v>270</v>
      </c>
      <c r="B17" s="285"/>
      <c r="C17" s="203">
        <v>1</v>
      </c>
    </row>
    <row r="18" spans="1:3" ht="14.25">
      <c r="A18" s="283" t="s">
        <v>271</v>
      </c>
      <c r="B18" s="285" t="s">
        <v>258</v>
      </c>
      <c r="C18" s="203">
        <v>15</v>
      </c>
    </row>
    <row r="19" spans="1:3" ht="14.25">
      <c r="A19" s="202" t="s">
        <v>266</v>
      </c>
      <c r="B19" s="285" t="s">
        <v>255</v>
      </c>
      <c r="C19" s="226">
        <f>IF(AND(C18&gt;=15,C17=1),5.8,C18/2)</f>
        <v>5.8</v>
      </c>
    </row>
    <row r="20" spans="1:3" ht="14.25">
      <c r="A20" s="283" t="s">
        <v>267</v>
      </c>
      <c r="B20" s="285"/>
      <c r="C20" s="287">
        <f>_xlfn.IFERROR(C15/C19,0)</f>
        <v>0.6497798796941061</v>
      </c>
    </row>
    <row r="21" spans="1:3" ht="14.25">
      <c r="A21" s="283" t="s">
        <v>274</v>
      </c>
      <c r="B21" s="285"/>
      <c r="C21" s="296">
        <v>1</v>
      </c>
    </row>
    <row r="22" spans="1:3" ht="15" thickBot="1">
      <c r="A22" s="289" t="s">
        <v>268</v>
      </c>
      <c r="B22" s="290"/>
      <c r="C22" s="292">
        <f>_xlfn.IFERROR(C20/C21,0)</f>
        <v>0.6497798796941061</v>
      </c>
    </row>
  </sheetData>
  <sheetProtection/>
  <mergeCells count="1">
    <mergeCell ref="A7:C7"/>
  </mergeCells>
  <conditionalFormatting sqref="C19">
    <cfRule type="expression" priority="1" dxfId="0">
      <formula>"SE(E(C20&gt;=15;C19=1))"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User</cp:lastModifiedBy>
  <cp:lastPrinted>2021-03-11T17:49:32Z</cp:lastPrinted>
  <dcterms:created xsi:type="dcterms:W3CDTF">2000-12-13T10:02:50Z</dcterms:created>
  <dcterms:modified xsi:type="dcterms:W3CDTF">2021-03-11T17:49:36Z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